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/>
  <xr:revisionPtr revIDLastSave="0" documentId="13_ncr:1_{BFB70540-1150-4F75-AD25-E613518ABC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structions" sheetId="1" r:id="rId1"/>
    <sheet name="Reference Data" sheetId="2" state="veryHidden" r:id="rId2"/>
    <sheet name="Customer Input" sheetId="3" r:id="rId3"/>
    <sheet name="Sizing Results" sheetId="4" r:id="rId4"/>
    <sheet name="License BOM" sheetId="5" r:id="rId5"/>
    <sheet name="Proposal Summary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6" l="1"/>
  <c r="C46" i="6"/>
  <c r="B46" i="6"/>
  <c r="C45" i="6"/>
  <c r="B45" i="6"/>
  <c r="C44" i="6"/>
  <c r="B44" i="6"/>
  <c r="C43" i="6"/>
  <c r="B43" i="6"/>
  <c r="C42" i="6"/>
  <c r="B42" i="6"/>
  <c r="E41" i="6"/>
  <c r="C41" i="6"/>
  <c r="B41" i="6"/>
  <c r="C38" i="6"/>
  <c r="F37" i="6"/>
  <c r="C37" i="6"/>
  <c r="C15" i="6"/>
  <c r="C9" i="6"/>
  <c r="C8" i="6"/>
  <c r="C7" i="6"/>
  <c r="C6" i="6"/>
  <c r="E11" i="5"/>
  <c r="E47" i="6" s="1"/>
  <c r="D11" i="5"/>
  <c r="C47" i="6" s="1"/>
  <c r="C11" i="5"/>
  <c r="B47" i="6" s="1"/>
  <c r="E10" i="5"/>
  <c r="E46" i="6" s="1"/>
  <c r="E9" i="5"/>
  <c r="E45" i="6" s="1"/>
  <c r="C8" i="4"/>
  <c r="C16" i="6" s="1"/>
  <c r="C7" i="4"/>
  <c r="C12" i="6" s="1"/>
  <c r="C6" i="4"/>
  <c r="C13" i="6" s="1"/>
  <c r="C5" i="4"/>
  <c r="C14" i="6" s="1"/>
  <c r="E25" i="4" l="1"/>
  <c r="E29" i="4"/>
  <c r="C34" i="4"/>
  <c r="C35" i="4" s="1"/>
  <c r="C36" i="4" s="1"/>
  <c r="C47" i="4" s="1"/>
  <c r="C9" i="4"/>
  <c r="E24" i="4"/>
  <c r="E28" i="4"/>
  <c r="C61" i="4"/>
  <c r="E6" i="5"/>
  <c r="E42" i="6" s="1"/>
  <c r="E23" i="4"/>
  <c r="E27" i="4"/>
  <c r="E31" i="4"/>
  <c r="E7" i="5"/>
  <c r="E43" i="6" s="1"/>
  <c r="E8" i="5"/>
  <c r="E44" i="6" s="1"/>
  <c r="E26" i="4"/>
  <c r="E30" i="4"/>
  <c r="C17" i="4"/>
  <c r="C29" i="4" l="1"/>
  <c r="C25" i="4"/>
  <c r="C30" i="4"/>
  <c r="C26" i="4"/>
  <c r="C14" i="4"/>
  <c r="C10" i="4"/>
  <c r="C17" i="6" s="1"/>
  <c r="C27" i="4"/>
  <c r="C23" i="4"/>
  <c r="C31" i="4"/>
  <c r="C28" i="4"/>
  <c r="C24" i="4"/>
  <c r="C24" i="6"/>
  <c r="C23" i="6"/>
  <c r="C22" i="6"/>
  <c r="C21" i="6"/>
  <c r="C20" i="6"/>
  <c r="D29" i="4" l="1"/>
  <c r="D25" i="4"/>
  <c r="C16" i="4"/>
  <c r="D30" i="4"/>
  <c r="D26" i="4"/>
  <c r="C15" i="4"/>
  <c r="D31" i="4"/>
  <c r="D27" i="4"/>
  <c r="D24" i="4"/>
  <c r="D23" i="4"/>
  <c r="D28" i="4"/>
  <c r="C18" i="4" l="1"/>
  <c r="C19" i="4" s="1"/>
  <c r="F27" i="4"/>
  <c r="G27" i="4" s="1"/>
  <c r="H27" i="4" s="1"/>
  <c r="F30" i="4"/>
  <c r="G30" i="4"/>
  <c r="H30" i="4" s="1"/>
  <c r="F25" i="4"/>
  <c r="G25" i="4" s="1"/>
  <c r="H25" i="4" s="1"/>
  <c r="C34" i="6"/>
  <c r="F31" i="4"/>
  <c r="D34" i="6" s="1"/>
  <c r="C32" i="6"/>
  <c r="F26" i="4"/>
  <c r="D32" i="6" s="1"/>
  <c r="G26" i="4"/>
  <c r="C33" i="6"/>
  <c r="G28" i="4"/>
  <c r="F28" i="4"/>
  <c r="D33" i="6" s="1"/>
  <c r="F23" i="4"/>
  <c r="D30" i="6" s="1"/>
  <c r="C30" i="6"/>
  <c r="C31" i="6"/>
  <c r="F24" i="4"/>
  <c r="D31" i="6" s="1"/>
  <c r="F29" i="4"/>
  <c r="G29" i="4" s="1"/>
  <c r="H29" i="4" s="1"/>
  <c r="C46" i="4" l="1"/>
  <c r="C39" i="4"/>
  <c r="C40" i="4" s="1"/>
  <c r="C48" i="4" s="1"/>
  <c r="E33" i="6"/>
  <c r="H28" i="4"/>
  <c r="E32" i="6"/>
  <c r="H26" i="4"/>
  <c r="G23" i="4"/>
  <c r="G31" i="4"/>
  <c r="G24" i="4"/>
  <c r="E31" i="6" l="1"/>
  <c r="H24" i="4"/>
  <c r="C49" i="4"/>
  <c r="E34" i="6"/>
  <c r="H31" i="4"/>
  <c r="C50" i="4"/>
  <c r="C26" i="6" s="1"/>
  <c r="E30" i="6"/>
  <c r="H23" i="4"/>
</calcChain>
</file>

<file path=xl/sharedStrings.xml><?xml version="1.0" encoding="utf-8"?>
<sst xmlns="http://schemas.openxmlformats.org/spreadsheetml/2006/main" count="282" uniqueCount="222">
  <si>
    <t>ENTERPRISE CALL ACCOUNTING SYSTEM</t>
  </si>
  <si>
    <t>Capacity Planning Calculator</t>
  </si>
  <si>
    <t>Version 1.0 — March 2026 — MeeraApps Solution</t>
  </si>
  <si>
    <t>How to Use This Calculator</t>
  </si>
  <si>
    <t>1. Go to the "Customer Input" sheet and fill in all blue-highlighted cells.</t>
  </si>
  <si>
    <t>2. Enter site details: PBX vendor, model, number of extensions, and average calls per extension per day.</t>
  </si>
  <si>
    <t>3. Select the CDR retention period and backup policy that matches the customer's requirements.</t>
  </si>
  <si>
    <t>4. Review the auto-calculated results on the "Sizing Results" sheet.</t>
  </si>
  <si>
    <t>5. Check the "License BOM" sheet for the complete Bill of Materials with part numbers.</t>
  </si>
  <si>
    <t>6. Print or PDF the "Proposal Summary" sheet to attach to your quote.</t>
  </si>
  <si>
    <t/>
  </si>
  <si>
    <t>Color Legend:</t>
  </si>
  <si>
    <t xml:space="preserve">   Blue cells = Input (editable by you)</t>
  </si>
  <si>
    <t xml:space="preserve">   Gray cells = Calculated (locked)</t>
  </si>
  <si>
    <t xml:space="preserve">   Green highlight = Recommended / Selected</t>
  </si>
  <si>
    <t xml:space="preserve">   Yellow highlight = Warning / Attention needed</t>
  </si>
  <si>
    <t>Notes:</t>
  </si>
  <si>
    <t>• Unit prices are left blank — fill them per your partner price tier agreement.</t>
  </si>
  <si>
    <t>• All storage calculations include PostgreSQL overhead (indexes, WAL, bloat factor 1.3×).</t>
  </si>
  <si>
    <t>• Server tier recommendations assume all components on a single server.</t>
  </si>
  <si>
    <t>• For Large/Enterprise tiers, consider a dedicated database server.</t>
  </si>
  <si>
    <t>Supported PBX Systems (14 platforms, 4 vendors):</t>
  </si>
  <si>
    <t xml:space="preserve">   Mitel: MiVoice Business, MX-ONE, OpenScape 4000, OpenScape Voice, OpenScape Business, MiVoice Office 400</t>
  </si>
  <si>
    <t xml:space="preserve">   Avaya: Aura CM, IP Office</t>
  </si>
  <si>
    <t xml:space="preserve">   Cisco: CUCM, CME/CUBE</t>
  </si>
  <si>
    <t xml:space="preserve">   Alcatel: OXE, OXO, OpenTouch, 4400</t>
  </si>
  <si>
    <t>Contact: sales@meerapps.com | www.meerapps.com</t>
  </si>
  <si>
    <t>PBX Model</t>
  </si>
  <si>
    <t>Vendor</t>
  </si>
  <si>
    <t>RecordSize</t>
  </si>
  <si>
    <t>Mode</t>
  </si>
  <si>
    <t>Port</t>
  </si>
  <si>
    <t>Vendors</t>
  </si>
  <si>
    <t>MiVoice Business</t>
  </si>
  <si>
    <t>Mitel</t>
  </si>
  <si>
    <t>TCP Pull</t>
  </si>
  <si>
    <t>MX-ONE</t>
  </si>
  <si>
    <t>TCP Push/Pull</t>
  </si>
  <si>
    <t>Avaya</t>
  </si>
  <si>
    <t>OpenScape 4000</t>
  </si>
  <si>
    <t>Cisco</t>
  </si>
  <si>
    <t>OpenScape Voice</t>
  </si>
  <si>
    <t>SFTP</t>
  </si>
  <si>
    <t>Alcatel</t>
  </si>
  <si>
    <t>OpenScape Business</t>
  </si>
  <si>
    <t>Other</t>
  </si>
  <si>
    <t>MiVoice Office 400</t>
  </si>
  <si>
    <t>TCP Push</t>
  </si>
  <si>
    <t>Aura CM</t>
  </si>
  <si>
    <t>IP Office</t>
  </si>
  <si>
    <t>CUCM</t>
  </si>
  <si>
    <t>CME/CUBE</t>
  </si>
  <si>
    <t>OXE</t>
  </si>
  <si>
    <t>OXO</t>
  </si>
  <si>
    <t>OpenTouch</t>
  </si>
  <si>
    <t>4400</t>
  </si>
  <si>
    <t>Generic</t>
  </si>
  <si>
    <t>CAPACITY PLANNING — CUSTOMER INPUT</t>
  </si>
  <si>
    <t>A. Customer Information</t>
  </si>
  <si>
    <t>Field</t>
  </si>
  <si>
    <t>Value</t>
  </si>
  <si>
    <t>Customer Name</t>
  </si>
  <si>
    <t>Project Name</t>
  </si>
  <si>
    <t>Partner Name</t>
  </si>
  <si>
    <t>Date</t>
  </si>
  <si>
    <t>Country/Region</t>
  </si>
  <si>
    <t>B. Site Topology</t>
  </si>
  <si>
    <t>Number of Sites</t>
  </si>
  <si>
    <t>Number of Tenants</t>
  </si>
  <si>
    <t>#</t>
  </si>
  <si>
    <t>Site Name</t>
  </si>
  <si>
    <t>PBX Vendor</t>
  </si>
  <si>
    <t># PBX</t>
  </si>
  <si>
    <t># Extensions</t>
  </si>
  <si>
    <t>Calls/Ext/Day</t>
  </si>
  <si>
    <t>Main Site</t>
  </si>
  <si>
    <t>C. Retention &amp; Backup Policy</t>
  </si>
  <si>
    <t>CDR Retention Period (months)</t>
  </si>
  <si>
    <t>Report Retention (months)</t>
  </si>
  <si>
    <t>Backup Frequency</t>
  </si>
  <si>
    <t>Daily</t>
  </si>
  <si>
    <t>Backup Copies Retained</t>
  </si>
  <si>
    <t>Backup Destination</t>
  </si>
  <si>
    <t>Local</t>
  </si>
  <si>
    <t>D. Optional Features</t>
  </si>
  <si>
    <t>API Access</t>
  </si>
  <si>
    <t>No</t>
  </si>
  <si>
    <t>Software Assurance</t>
  </si>
  <si>
    <t>None</t>
  </si>
  <si>
    <t>E. Working Assumptions</t>
  </si>
  <si>
    <t>Working Days per Month</t>
  </si>
  <si>
    <t>Avg Call Record Size (bytes)</t>
  </si>
  <si>
    <t>Avg Report File Size (KB)</t>
  </si>
  <si>
    <t>Reports per Site per Month</t>
  </si>
  <si>
    <t>Database Overhead Factor</t>
  </si>
  <si>
    <t>OS + App Install (GB)</t>
  </si>
  <si>
    <t>PostgreSQL Base (GB)</t>
  </si>
  <si>
    <t>SIZING RESULTS</t>
  </si>
  <si>
    <t>A. Call Volume Summary</t>
  </si>
  <si>
    <t>Metric</t>
  </si>
  <si>
    <t>Total Extensions</t>
  </si>
  <si>
    <t>Total PBX Systems</t>
  </si>
  <si>
    <t>Active Sites</t>
  </si>
  <si>
    <t>Total Calls/Day</t>
  </si>
  <si>
    <t>Total Calls/Month</t>
  </si>
  <si>
    <t>Total Calls/Year</t>
  </si>
  <si>
    <t>B. Database Storage (at selected retention)</t>
  </si>
  <si>
    <t>Component</t>
  </si>
  <si>
    <t>Unit</t>
  </si>
  <si>
    <t>CDR Storage/Month</t>
  </si>
  <si>
    <t>GB</t>
  </si>
  <si>
    <t>CDR Storage/Year</t>
  </si>
  <si>
    <t>CDR Storage @ Retention</t>
  </si>
  <si>
    <t>Config/Metadata (fixed)</t>
  </si>
  <si>
    <t>Index Overhead (35%)</t>
  </si>
  <si>
    <t>Total Database Size</t>
  </si>
  <si>
    <t>B.2  Retention Comparison Table</t>
  </si>
  <si>
    <t>Retention</t>
  </si>
  <si>
    <t>CDR Records</t>
  </si>
  <si>
    <t>DB Size (GB)</t>
  </si>
  <si>
    <t>+ Reports (GB)</t>
  </si>
  <si>
    <t>+ Backups (GB)</t>
  </si>
  <si>
    <t>Total Disk (GB)</t>
  </si>
  <si>
    <t>Server Tier</t>
  </si>
  <si>
    <t>6 months</t>
  </si>
  <si>
    <t>1 year</t>
  </si>
  <si>
    <t>18 months</t>
  </si>
  <si>
    <t>2 years</t>
  </si>
  <si>
    <t>3 years</t>
  </si>
  <si>
    <t>4 years</t>
  </si>
  <si>
    <t>5 years</t>
  </si>
  <si>
    <t>7 years</t>
  </si>
  <si>
    <t>10 years</t>
  </si>
  <si>
    <t>C. Report Storage</t>
  </si>
  <si>
    <t>Reports/Month</t>
  </si>
  <si>
    <t>Report Storage/Month (GB)</t>
  </si>
  <si>
    <t>Report Storage @ Retention (GB)</t>
  </si>
  <si>
    <t>D. Backup Storage</t>
  </si>
  <si>
    <t>Single Backup Size (GB)</t>
  </si>
  <si>
    <t>Total Backup Storage (GB)</t>
  </si>
  <si>
    <t>E. Total Disk Space</t>
  </si>
  <si>
    <t>OS + Application</t>
  </si>
  <si>
    <t>PostgreSQL Base</t>
  </si>
  <si>
    <t>Database</t>
  </si>
  <si>
    <t>Reports</t>
  </si>
  <si>
    <t>Backups</t>
  </si>
  <si>
    <t>Growth Buffer (20%)</t>
  </si>
  <si>
    <t>TOTAL RECOMMENDED DISK</t>
  </si>
  <si>
    <t>F. Server Recommendation</t>
  </si>
  <si>
    <t>Spec</t>
  </si>
  <si>
    <t>Small</t>
  </si>
  <si>
    <t>Medium</t>
  </si>
  <si>
    <t>Large</t>
  </si>
  <si>
    <t>Enterprise</t>
  </si>
  <si>
    <t>Max Extensions</t>
  </si>
  <si>
    <t>10,000+</t>
  </si>
  <si>
    <t>Max Calls/Day</t>
  </si>
  <si>
    <t>5,000</t>
  </si>
  <si>
    <t>25,000</t>
  </si>
  <si>
    <t>100,000</t>
  </si>
  <si>
    <t>100,000+</t>
  </si>
  <si>
    <t>CPU Cores</t>
  </si>
  <si>
    <t>RAM (GB)</t>
  </si>
  <si>
    <t>Disk (GB)</t>
  </si>
  <si>
    <t>Operating System</t>
  </si>
  <si>
    <t>Win 10/11 Pro</t>
  </si>
  <si>
    <t>Win Server 2019+</t>
  </si>
  <si>
    <t>Win Server 2022</t>
  </si>
  <si>
    <t>RECOMMENDED TIER</t>
  </si>
  <si>
    <t>LICENSE BILL OF MATERIALS</t>
  </si>
  <si>
    <t>Part Number</t>
  </si>
  <si>
    <t>Description</t>
  </si>
  <si>
    <t>Qty</t>
  </si>
  <si>
    <t>Notes</t>
  </si>
  <si>
    <t>CA-BASE-0001</t>
  </si>
  <si>
    <t>Base Package</t>
  </si>
  <si>
    <t>Required</t>
  </si>
  <si>
    <t>CA-SITE-0001</t>
  </si>
  <si>
    <t>Site License</t>
  </si>
  <si>
    <t>Per site</t>
  </si>
  <si>
    <t>CA-PBX-0001</t>
  </si>
  <si>
    <t>PBX Connection</t>
  </si>
  <si>
    <t>Per PBX system</t>
  </si>
  <si>
    <t>CA-EXT-0001</t>
  </si>
  <si>
    <t>Extension License</t>
  </si>
  <si>
    <t>Per extension</t>
  </si>
  <si>
    <t>CA-TNT-0001</t>
  </si>
  <si>
    <t>Additional Tenant</t>
  </si>
  <si>
    <t>First tenant free</t>
  </si>
  <si>
    <t>CA-API-0001</t>
  </si>
  <si>
    <t>Optional</t>
  </si>
  <si>
    <t>Auto-calculated</t>
  </si>
  <si>
    <t>CAPACITY PLANNING &amp; SIZING REPORT</t>
  </si>
  <si>
    <t>Enterprise Call Accounting System</t>
  </si>
  <si>
    <t>CUSTOMER DETAILS</t>
  </si>
  <si>
    <t>Customer:</t>
  </si>
  <si>
    <t>Project:</t>
  </si>
  <si>
    <t>Partner:</t>
  </si>
  <si>
    <t>Date:</t>
  </si>
  <si>
    <t>DEPLOYMENT SUMMARY</t>
  </si>
  <si>
    <t>Sites</t>
  </si>
  <si>
    <t>PBX Systems</t>
  </si>
  <si>
    <t>Tenants</t>
  </si>
  <si>
    <t>Est. Calls/Day</t>
  </si>
  <si>
    <t>Est. Calls/Year</t>
  </si>
  <si>
    <t>SERVER RECOMMENDATION</t>
  </si>
  <si>
    <t>Recommended Tier</t>
  </si>
  <si>
    <t>CPU</t>
  </si>
  <si>
    <t>RAM</t>
  </si>
  <si>
    <t>Disk</t>
  </si>
  <si>
    <t>OS</t>
  </si>
  <si>
    <t>PostgreSQL 15/16/17</t>
  </si>
  <si>
    <t>Total Disk Required</t>
  </si>
  <si>
    <t>STORAGE BY RETENTION PERIOD</t>
  </si>
  <si>
    <t>Total Disk</t>
  </si>
  <si>
    <t>RETENTION POLICY</t>
  </si>
  <si>
    <t>CDR Retention</t>
  </si>
  <si>
    <t>Report Retention</t>
  </si>
  <si>
    <t>Backup Copies</t>
  </si>
  <si>
    <t>Prepared by:</t>
  </si>
  <si>
    <t>Valid for 30 days from date of issue.</t>
  </si>
  <si>
    <t>MeeraApps Technology | www.meerapps.com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</si>
</sst>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-mmm\-yyyy"/>
    <numFmt numFmtId="165" formatCode="#,##0.0"/>
    <numFmt numFmtId="166" formatCode="#,##0.0\ &quot;GB&quot;"/>
  </numFmts>
  <fonts count="15" x14ac:knownFonts="1">
    <font>
      <sz val="11"/>
      <color theme="1"/>
      <name val="Calibri"/>
      <family val="2"/>
      <scheme val="minor"/>
    </font>
    <font>
      <b/>
      <sz val="16"/>
      <color rgb="FF1F4E79"/>
      <name val="Calibri"/>
    </font>
    <font>
      <b/>
      <sz val="14"/>
      <color rgb="FF2E75B6"/>
      <name val="Calibri"/>
    </font>
    <font>
      <sz val="10"/>
      <color rgb="FF808080"/>
      <name val="Calibri"/>
    </font>
    <font>
      <b/>
      <sz val="12"/>
      <color rgb="FF1F4E79"/>
      <name val="Calibri"/>
    </font>
    <font>
      <sz val="10"/>
      <name val="Calibri"/>
    </font>
    <font>
      <b/>
      <sz val="11"/>
      <color rgb="FFFFFFFF"/>
      <name val="Calibri"/>
    </font>
    <font>
      <b/>
      <sz val="10"/>
      <name val="Calibri"/>
    </font>
    <font>
      <b/>
      <sz val="11"/>
      <name val="Calibri"/>
    </font>
    <font>
      <b/>
      <sz val="11"/>
      <name val="Calibri"/>
    </font>
    <font>
      <b/>
      <sz val="14"/>
      <color rgb="FF006100"/>
      <name val="Calibri"/>
    </font>
    <font>
      <sz val="12"/>
      <color rgb="FF2E75B6"/>
      <name val="Calibri"/>
    </font>
    <font>
      <b/>
      <sz val="12"/>
      <color rgb="FF006100"/>
      <name val="Calibri"/>
    </font>
    <font>
      <i/>
      <sz val="9"/>
      <color rgb="FF808080"/>
      <name val="Calibri"/>
    </font>
    <font>
      <sz val="9"/>
      <color rgb="FF2E75B6"/>
      <name val="Calibri"/>
    </font>
  </fonts>
  <fills count="9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1F4E79"/>
      </patternFill>
    </fill>
    <fill>
      <patternFill patternType="solid">
        <fgColor rgb="FF2E75B6"/>
      </patternFill>
    </fill>
    <fill>
      <patternFill patternType="solid">
        <fgColor rgb="FFD6E4F0"/>
      </patternFill>
    </fill>
  </fills>
  <borders count="2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2" borderId="0" xfId="0" applyFont="1" applyFill="1"/>
    <xf numFmtId="0" fontId="5" fillId="3" borderId="0" xfId="0" applyFont="1" applyFill="1"/>
    <xf numFmtId="0" fontId="5" fillId="4" borderId="0" xfId="0" applyFont="1" applyFill="1"/>
    <xf numFmtId="0" fontId="5" fillId="5" borderId="0" xfId="0" applyFont="1" applyFill="1"/>
    <xf numFmtId="0" fontId="6" fillId="6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3" fontId="5" fillId="3" borderId="1" xfId="0" applyNumberFormat="1" applyFont="1" applyFill="1" applyBorder="1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6" fillId="6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5" fillId="3" borderId="1" xfId="0" applyFont="1" applyFill="1" applyBorder="1" applyAlignment="1">
      <alignment horizontal="left" vertical="center"/>
    </xf>
    <xf numFmtId="164" fontId="5" fillId="3" borderId="1" xfId="0" applyNumberFormat="1" applyFont="1" applyFill="1" applyBorder="1" applyAlignment="1">
      <alignment horizontal="left" vertical="center"/>
    </xf>
    <xf numFmtId="3" fontId="5" fillId="3" borderId="1" xfId="0" applyNumberFormat="1" applyFont="1" applyFill="1" applyBorder="1" applyAlignment="1">
      <alignment horizontal="left" vertical="center"/>
    </xf>
    <xf numFmtId="0" fontId="12" fillId="4" borderId="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7" fillId="8" borderId="1" xfId="0" applyFont="1" applyFill="1" applyBorder="1" applyAlignment="1">
      <alignment vertical="center"/>
    </xf>
    <xf numFmtId="166" fontId="5" fillId="3" borderId="1" xfId="0" applyNumberFormat="1" applyFont="1" applyFill="1" applyBorder="1" applyAlignment="1">
      <alignment horizontal="left" vertical="center"/>
    </xf>
    <xf numFmtId="3" fontId="5" fillId="3" borderId="1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7" borderId="1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6" fillId="7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4" fontId="5" fillId="4" borderId="1" xfId="0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165" fontId="9" fillId="4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64" fontId="5" fillId="2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9">
    <dxf>
      <fill>
        <patternFill patternType="solid">
          <bgColor rgb="FFC6EFCE"/>
        </patternFill>
      </fill>
    </dxf>
    <dxf>
      <fill>
        <patternFill patternType="solid">
          <bgColor rgb="FFC6EFCE"/>
        </patternFill>
      </fill>
    </dxf>
    <dxf>
      <fill>
        <patternFill patternType="solid">
          <bgColor rgb="FFC6EFCE"/>
        </patternFill>
      </fill>
    </dxf>
    <dxf>
      <fill>
        <patternFill patternType="solid">
          <bgColor rgb="FFC6EFCE"/>
        </patternFill>
      </fill>
    </dxf>
    <dxf>
      <fill>
        <patternFill patternType="solid">
          <bgColor rgb="FFC6EFCE"/>
        </patternFill>
      </fill>
    </dxf>
    <dxf>
      <fill>
        <patternFill patternType="solid">
          <bgColor rgb="FFC6EFCE"/>
        </patternFill>
      </fill>
    </dxf>
    <dxf>
      <fill>
        <patternFill patternType="solid">
          <bgColor rgb="FFC6EFCE"/>
        </patternFill>
      </fill>
    </dxf>
    <dxf>
      <fill>
        <patternFill patternType="solid">
          <bgColor rgb="FFC6EFCE"/>
        </patternFill>
      </fill>
    </dxf>
    <dxf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4E79"/>
  </sheetPr>
  <dimension ref="B2:B34"/>
  <sheetViews>
    <sheetView tabSelected="1" workbookViewId="0">
      <selection activeCell="B2" sqref="B2"/>
    </sheetView>
  </sheetViews>
  <sheetFormatPr defaultRowHeight="14.4" x14ac:dyDescent="0.3"/>
  <cols>
    <col min="1" max="1" width="5" customWidth="1"/>
    <col min="2" max="2" width="80" customWidth="1"/>
  </cols>
  <sheetData>
    <row r="2" spans="2:2" ht="21" x14ac:dyDescent="0.4">
      <c r="B2" s="1" t="s">
        <v>0</v>
      </c>
    </row>
    <row r="3" spans="2:2" ht="18" x14ac:dyDescent="0.35">
      <c r="B3" s="2" t="s">
        <v>1</v>
      </c>
    </row>
    <row r="4" spans="2:2" x14ac:dyDescent="0.3">
      <c r="B4" s="3" t="s">
        <v>2</v>
      </c>
    </row>
    <row r="6" spans="2:2" ht="15.6" x14ac:dyDescent="0.3">
      <c r="B6" s="4" t="s">
        <v>3</v>
      </c>
    </row>
    <row r="8" spans="2:2" x14ac:dyDescent="0.3">
      <c r="B8" s="5" t="s">
        <v>4</v>
      </c>
    </row>
    <row r="9" spans="2:2" x14ac:dyDescent="0.3">
      <c r="B9" s="5" t="s">
        <v>5</v>
      </c>
    </row>
    <row r="10" spans="2:2" x14ac:dyDescent="0.3">
      <c r="B10" s="5" t="s">
        <v>6</v>
      </c>
    </row>
    <row r="11" spans="2:2" x14ac:dyDescent="0.3">
      <c r="B11" s="5" t="s">
        <v>7</v>
      </c>
    </row>
    <row r="12" spans="2:2" x14ac:dyDescent="0.3">
      <c r="B12" s="5" t="s">
        <v>8</v>
      </c>
    </row>
    <row r="13" spans="2:2" x14ac:dyDescent="0.3">
      <c r="B13" s="5" t="s">
        <v>9</v>
      </c>
    </row>
    <row r="14" spans="2:2" x14ac:dyDescent="0.3">
      <c r="B14" s="5" t="s">
        <v>10</v>
      </c>
    </row>
    <row r="15" spans="2:2" x14ac:dyDescent="0.3">
      <c r="B15" s="5" t="s">
        <v>11</v>
      </c>
    </row>
    <row r="17" spans="2:2" x14ac:dyDescent="0.3">
      <c r="B17" s="6" t="s">
        <v>12</v>
      </c>
    </row>
    <row r="18" spans="2:2" x14ac:dyDescent="0.3">
      <c r="B18" s="7" t="s">
        <v>13</v>
      </c>
    </row>
    <row r="19" spans="2:2" x14ac:dyDescent="0.3">
      <c r="B19" s="8" t="s">
        <v>14</v>
      </c>
    </row>
    <row r="20" spans="2:2" x14ac:dyDescent="0.3">
      <c r="B20" s="9" t="s">
        <v>15</v>
      </c>
    </row>
    <row r="22" spans="2:2" x14ac:dyDescent="0.3">
      <c r="B22" s="5" t="s">
        <v>16</v>
      </c>
    </row>
    <row r="23" spans="2:2" x14ac:dyDescent="0.3">
      <c r="B23" s="5" t="s">
        <v>17</v>
      </c>
    </row>
    <row r="24" spans="2:2" x14ac:dyDescent="0.3">
      <c r="B24" s="5" t="s">
        <v>18</v>
      </c>
    </row>
    <row r="25" spans="2:2" x14ac:dyDescent="0.3">
      <c r="B25" s="5" t="s">
        <v>19</v>
      </c>
    </row>
    <row r="26" spans="2:2" x14ac:dyDescent="0.3">
      <c r="B26" s="5" t="s">
        <v>20</v>
      </c>
    </row>
    <row r="27" spans="2:2" x14ac:dyDescent="0.3">
      <c r="B27" s="5" t="s">
        <v>10</v>
      </c>
    </row>
    <row r="28" spans="2:2" x14ac:dyDescent="0.3">
      <c r="B28" s="5" t="s">
        <v>21</v>
      </c>
    </row>
    <row r="29" spans="2:2" x14ac:dyDescent="0.3">
      <c r="B29" s="5" t="s">
        <v>22</v>
      </c>
    </row>
    <row r="30" spans="2:2" x14ac:dyDescent="0.3">
      <c r="B30" s="5" t="s">
        <v>23</v>
      </c>
    </row>
    <row r="31" spans="2:2" x14ac:dyDescent="0.3">
      <c r="B31" s="5" t="s">
        <v>24</v>
      </c>
    </row>
    <row r="32" spans="2:2" x14ac:dyDescent="0.3">
      <c r="B32" s="5" t="s">
        <v>25</v>
      </c>
    </row>
    <row r="33" spans="2:2" x14ac:dyDescent="0.3">
      <c r="B33" s="5" t="s">
        <v>10</v>
      </c>
    </row>
    <row r="34" spans="2:2" x14ac:dyDescent="0.3">
      <c r="B34" s="5" t="s">
        <v>26</v>
      </c>
    </row>
  </sheetData>
  <sheetProtection algorithmName="SHA-512" hashValue="ptbPGY5xEVBy0qVoj6o1U+1PgrqPhM6KVq0zAcbivdiZV2BPZCpR28U2JeFNhjOehRwsueR2mOgkoRulZyF1Fg==" saltValue="GQslYcIr1E5njs484mEFAA==" spinCount="100000" sheet="1"/>
  <pageMargins left="0.7" right="0.7" top="0.75" bottom="0.75" header="0.3" footer="0.3"/>
  <pageSetup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808080"/>
  </sheetPr>
  <dimension ref="A1:G16"/>
  <sheetViews>
    <sheetView workbookViewId="0"/>
  </sheetViews>
  <sheetFormatPr defaultRowHeight="14.4" x14ac:dyDescent="0.3"/>
  <sheetData>
    <row r="1" spans="1:7" x14ac:dyDescent="0.3">
      <c r="A1" t="s">
        <v>27</v>
      </c>
      <c r="B1" t="s">
        <v>28</v>
      </c>
      <c r="C1" t="s">
        <v>29</v>
      </c>
      <c r="D1" t="s">
        <v>30</v>
      </c>
      <c r="E1" t="s">
        <v>31</v>
      </c>
      <c r="G1" t="s">
        <v>32</v>
      </c>
    </row>
    <row r="2" spans="1:7" x14ac:dyDescent="0.3">
      <c r="A2" t="s">
        <v>33</v>
      </c>
      <c r="B2" t="s">
        <v>34</v>
      </c>
      <c r="C2">
        <v>850</v>
      </c>
      <c r="D2" t="s">
        <v>35</v>
      </c>
      <c r="E2">
        <v>5000</v>
      </c>
      <c r="G2" t="s">
        <v>34</v>
      </c>
    </row>
    <row r="3" spans="1:7" x14ac:dyDescent="0.3">
      <c r="A3" t="s">
        <v>36</v>
      </c>
      <c r="B3" t="s">
        <v>34</v>
      </c>
      <c r="C3">
        <v>600</v>
      </c>
      <c r="D3" t="s">
        <v>37</v>
      </c>
      <c r="E3">
        <v>5000</v>
      </c>
      <c r="G3" t="s">
        <v>38</v>
      </c>
    </row>
    <row r="4" spans="1:7" x14ac:dyDescent="0.3">
      <c r="A4" t="s">
        <v>39</v>
      </c>
      <c r="B4" t="s">
        <v>34</v>
      </c>
      <c r="C4">
        <v>900</v>
      </c>
      <c r="D4" t="s">
        <v>35</v>
      </c>
      <c r="E4">
        <v>5000</v>
      </c>
      <c r="G4" t="s">
        <v>40</v>
      </c>
    </row>
    <row r="5" spans="1:7" x14ac:dyDescent="0.3">
      <c r="A5" t="s">
        <v>41</v>
      </c>
      <c r="B5" t="s">
        <v>34</v>
      </c>
      <c r="C5">
        <v>750</v>
      </c>
      <c r="D5" t="s">
        <v>42</v>
      </c>
      <c r="E5">
        <v>22</v>
      </c>
      <c r="G5" t="s">
        <v>43</v>
      </c>
    </row>
    <row r="6" spans="1:7" x14ac:dyDescent="0.3">
      <c r="A6" t="s">
        <v>44</v>
      </c>
      <c r="B6" t="s">
        <v>34</v>
      </c>
      <c r="C6">
        <v>500</v>
      </c>
      <c r="D6" t="s">
        <v>35</v>
      </c>
      <c r="E6">
        <v>5000</v>
      </c>
      <c r="G6" t="s">
        <v>45</v>
      </c>
    </row>
    <row r="7" spans="1:7" x14ac:dyDescent="0.3">
      <c r="A7" t="s">
        <v>46</v>
      </c>
      <c r="B7" t="s">
        <v>34</v>
      </c>
      <c r="C7">
        <v>450</v>
      </c>
      <c r="D7" t="s">
        <v>47</v>
      </c>
      <c r="E7">
        <v>5000</v>
      </c>
    </row>
    <row r="8" spans="1:7" x14ac:dyDescent="0.3">
      <c r="A8" t="s">
        <v>48</v>
      </c>
      <c r="B8" t="s">
        <v>38</v>
      </c>
      <c r="C8">
        <v>700</v>
      </c>
      <c r="D8" t="s">
        <v>47</v>
      </c>
      <c r="E8">
        <v>5001</v>
      </c>
    </row>
    <row r="9" spans="1:7" x14ac:dyDescent="0.3">
      <c r="A9" t="s">
        <v>49</v>
      </c>
      <c r="B9" t="s">
        <v>38</v>
      </c>
      <c r="C9">
        <v>650</v>
      </c>
      <c r="D9" t="s">
        <v>35</v>
      </c>
      <c r="E9">
        <v>5000</v>
      </c>
    </row>
    <row r="10" spans="1:7" x14ac:dyDescent="0.3">
      <c r="A10" t="s">
        <v>50</v>
      </c>
      <c r="B10" t="s">
        <v>40</v>
      </c>
      <c r="C10">
        <v>1200</v>
      </c>
      <c r="D10" t="s">
        <v>42</v>
      </c>
      <c r="E10">
        <v>22</v>
      </c>
    </row>
    <row r="11" spans="1:7" x14ac:dyDescent="0.3">
      <c r="A11" t="s">
        <v>51</v>
      </c>
      <c r="B11" t="s">
        <v>40</v>
      </c>
      <c r="C11">
        <v>400</v>
      </c>
      <c r="D11" t="s">
        <v>47</v>
      </c>
      <c r="E11">
        <v>514</v>
      </c>
    </row>
    <row r="12" spans="1:7" x14ac:dyDescent="0.3">
      <c r="A12" t="s">
        <v>52</v>
      </c>
      <c r="B12" t="s">
        <v>43</v>
      </c>
      <c r="C12">
        <v>550</v>
      </c>
      <c r="D12" t="s">
        <v>47</v>
      </c>
      <c r="E12">
        <v>2533</v>
      </c>
    </row>
    <row r="13" spans="1:7" x14ac:dyDescent="0.3">
      <c r="A13" t="s">
        <v>53</v>
      </c>
      <c r="B13" t="s">
        <v>43</v>
      </c>
      <c r="C13">
        <v>350</v>
      </c>
      <c r="D13" t="s">
        <v>47</v>
      </c>
      <c r="E13">
        <v>2533</v>
      </c>
    </row>
    <row r="14" spans="1:7" x14ac:dyDescent="0.3">
      <c r="A14" t="s">
        <v>54</v>
      </c>
      <c r="B14" t="s">
        <v>43</v>
      </c>
      <c r="C14">
        <v>550</v>
      </c>
      <c r="D14" t="s">
        <v>47</v>
      </c>
      <c r="E14">
        <v>2533</v>
      </c>
    </row>
    <row r="15" spans="1:7" x14ac:dyDescent="0.3">
      <c r="A15" t="s">
        <v>55</v>
      </c>
      <c r="B15" t="s">
        <v>43</v>
      </c>
      <c r="C15">
        <v>550</v>
      </c>
      <c r="D15" t="s">
        <v>47</v>
      </c>
      <c r="E15">
        <v>2533</v>
      </c>
    </row>
    <row r="16" spans="1:7" x14ac:dyDescent="0.3">
      <c r="A16" t="s">
        <v>56</v>
      </c>
      <c r="B16" t="s">
        <v>45</v>
      </c>
      <c r="C16">
        <v>850</v>
      </c>
      <c r="D16" t="s">
        <v>47</v>
      </c>
      <c r="E16">
        <v>5000</v>
      </c>
    </row>
  </sheetData>
  <pageMargins left="0.7" right="0.7" top="0.75" bottom="0.75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E75B6"/>
  </sheetPr>
  <dimension ref="B1:I55"/>
  <sheetViews>
    <sheetView workbookViewId="0">
      <selection activeCell="E16" sqref="E16"/>
    </sheetView>
  </sheetViews>
  <sheetFormatPr defaultRowHeight="14.4" x14ac:dyDescent="0.3"/>
  <cols>
    <col min="1" max="1" width="3" style="16" customWidth="1"/>
    <col min="2" max="2" width="5" style="16" customWidth="1"/>
    <col min="3" max="3" width="25.88671875" style="16" customWidth="1"/>
    <col min="4" max="4" width="18" style="16" customWidth="1"/>
    <col min="5" max="5" width="22" style="16" customWidth="1"/>
    <col min="6" max="6" width="12" style="38" customWidth="1"/>
    <col min="7" max="7" width="14" style="38" customWidth="1"/>
    <col min="8" max="8" width="18" style="38" customWidth="1"/>
    <col min="9" max="9" width="16" style="38" customWidth="1"/>
    <col min="10" max="16384" width="8.88671875" style="16"/>
  </cols>
  <sheetData>
    <row r="1" spans="2:9" ht="21" x14ac:dyDescent="0.3">
      <c r="C1" s="15" t="s">
        <v>57</v>
      </c>
      <c r="D1" s="15"/>
      <c r="E1" s="15"/>
      <c r="F1" s="15"/>
      <c r="G1" s="15"/>
      <c r="H1" s="15"/>
      <c r="I1" s="15"/>
    </row>
    <row r="3" spans="2:9" ht="15.6" x14ac:dyDescent="0.3">
      <c r="C3" s="32" t="s">
        <v>58</v>
      </c>
    </row>
    <row r="4" spans="2:9" x14ac:dyDescent="0.3">
      <c r="C4" s="18" t="s">
        <v>59</v>
      </c>
      <c r="D4" s="39" t="s">
        <v>60</v>
      </c>
    </row>
    <row r="5" spans="2:9" x14ac:dyDescent="0.3">
      <c r="C5" s="19" t="s">
        <v>61</v>
      </c>
      <c r="D5" s="46" t="s">
        <v>10</v>
      </c>
    </row>
    <row r="6" spans="2:9" x14ac:dyDescent="0.3">
      <c r="C6" s="19" t="s">
        <v>62</v>
      </c>
      <c r="D6" s="46" t="s">
        <v>10</v>
      </c>
    </row>
    <row r="7" spans="2:9" x14ac:dyDescent="0.3">
      <c r="C7" s="19" t="s">
        <v>63</v>
      </c>
      <c r="D7" s="46" t="s">
        <v>10</v>
      </c>
    </row>
    <row r="8" spans="2:9" x14ac:dyDescent="0.3">
      <c r="C8" s="19" t="s">
        <v>64</v>
      </c>
      <c r="D8" s="47">
        <v>46099.913955856478</v>
      </c>
    </row>
    <row r="9" spans="2:9" x14ac:dyDescent="0.3">
      <c r="C9" s="19" t="s">
        <v>65</v>
      </c>
      <c r="D9" s="46" t="s">
        <v>10</v>
      </c>
    </row>
    <row r="10" spans="2:9" x14ac:dyDescent="0.3">
      <c r="D10" s="38"/>
    </row>
    <row r="11" spans="2:9" ht="15.6" x14ac:dyDescent="0.3">
      <c r="C11" s="32" t="s">
        <v>66</v>
      </c>
      <c r="D11" s="38"/>
    </row>
    <row r="12" spans="2:9" x14ac:dyDescent="0.3">
      <c r="C12" s="19" t="s">
        <v>67</v>
      </c>
      <c r="D12" s="46">
        <v>1</v>
      </c>
    </row>
    <row r="13" spans="2:9" x14ac:dyDescent="0.3">
      <c r="C13" s="19" t="s">
        <v>68</v>
      </c>
      <c r="D13" s="46">
        <v>1</v>
      </c>
    </row>
    <row r="15" spans="2:9" x14ac:dyDescent="0.3">
      <c r="B15" s="33" t="s">
        <v>69</v>
      </c>
      <c r="C15" s="33" t="s">
        <v>70</v>
      </c>
      <c r="D15" s="33" t="s">
        <v>71</v>
      </c>
      <c r="E15" s="33" t="s">
        <v>27</v>
      </c>
      <c r="F15" s="35" t="s">
        <v>72</v>
      </c>
      <c r="G15" s="35" t="s">
        <v>73</v>
      </c>
      <c r="H15" s="35" t="s">
        <v>74</v>
      </c>
      <c r="I15" s="35" t="s">
        <v>30</v>
      </c>
    </row>
    <row r="16" spans="2:9" x14ac:dyDescent="0.3">
      <c r="B16" s="36">
        <v>1</v>
      </c>
      <c r="C16" s="45" t="s">
        <v>75</v>
      </c>
      <c r="D16" s="45" t="s">
        <v>34</v>
      </c>
      <c r="E16" s="45" t="s">
        <v>33</v>
      </c>
      <c r="F16" s="46">
        <v>1</v>
      </c>
      <c r="G16" s="46">
        <v>100</v>
      </c>
      <c r="H16" s="46">
        <v>15</v>
      </c>
      <c r="I16" s="46" t="s">
        <v>35</v>
      </c>
    </row>
    <row r="17" spans="2:9" x14ac:dyDescent="0.3">
      <c r="B17" s="36">
        <v>2</v>
      </c>
      <c r="C17" s="45"/>
      <c r="D17" s="45"/>
      <c r="E17" s="45"/>
      <c r="F17" s="46"/>
      <c r="G17" s="46"/>
      <c r="H17" s="46"/>
      <c r="I17" s="46"/>
    </row>
    <row r="18" spans="2:9" x14ac:dyDescent="0.3">
      <c r="B18" s="36">
        <v>3</v>
      </c>
      <c r="C18" s="45"/>
      <c r="D18" s="45"/>
      <c r="E18" s="45"/>
      <c r="F18" s="46"/>
      <c r="G18" s="46"/>
      <c r="H18" s="46"/>
      <c r="I18" s="46"/>
    </row>
    <row r="19" spans="2:9" x14ac:dyDescent="0.3">
      <c r="B19" s="36">
        <v>4</v>
      </c>
      <c r="C19" s="45"/>
      <c r="D19" s="45"/>
      <c r="E19" s="45"/>
      <c r="F19" s="46"/>
      <c r="G19" s="46"/>
      <c r="H19" s="46"/>
      <c r="I19" s="46"/>
    </row>
    <row r="20" spans="2:9" x14ac:dyDescent="0.3">
      <c r="B20" s="36">
        <v>5</v>
      </c>
      <c r="C20" s="45"/>
      <c r="D20" s="45"/>
      <c r="E20" s="45"/>
      <c r="F20" s="46"/>
      <c r="G20" s="46"/>
      <c r="H20" s="46"/>
      <c r="I20" s="46"/>
    </row>
    <row r="21" spans="2:9" x14ac:dyDescent="0.3">
      <c r="B21" s="36">
        <v>6</v>
      </c>
      <c r="C21" s="45"/>
      <c r="D21" s="45"/>
      <c r="E21" s="45"/>
      <c r="F21" s="46"/>
      <c r="G21" s="46"/>
      <c r="H21" s="46"/>
      <c r="I21" s="46"/>
    </row>
    <row r="22" spans="2:9" x14ac:dyDescent="0.3">
      <c r="B22" s="36">
        <v>7</v>
      </c>
      <c r="C22" s="45"/>
      <c r="D22" s="45"/>
      <c r="E22" s="45"/>
      <c r="F22" s="46"/>
      <c r="G22" s="46"/>
      <c r="H22" s="46"/>
      <c r="I22" s="46"/>
    </row>
    <row r="23" spans="2:9" x14ac:dyDescent="0.3">
      <c r="B23" s="36">
        <v>8</v>
      </c>
      <c r="C23" s="45"/>
      <c r="D23" s="45"/>
      <c r="E23" s="45"/>
      <c r="F23" s="46"/>
      <c r="G23" s="46"/>
      <c r="H23" s="46"/>
      <c r="I23" s="46"/>
    </row>
    <row r="24" spans="2:9" x14ac:dyDescent="0.3">
      <c r="B24" s="36">
        <v>9</v>
      </c>
      <c r="C24" s="45"/>
      <c r="D24" s="45"/>
      <c r="E24" s="45"/>
      <c r="F24" s="46"/>
      <c r="G24" s="46"/>
      <c r="H24" s="46"/>
      <c r="I24" s="46"/>
    </row>
    <row r="25" spans="2:9" x14ac:dyDescent="0.3">
      <c r="B25" s="36">
        <v>10</v>
      </c>
      <c r="C25" s="45"/>
      <c r="D25" s="45"/>
      <c r="E25" s="45"/>
      <c r="F25" s="46"/>
      <c r="G25" s="46"/>
      <c r="H25" s="46"/>
      <c r="I25" s="46"/>
    </row>
    <row r="26" spans="2:9" x14ac:dyDescent="0.3">
      <c r="B26" s="36">
        <v>11</v>
      </c>
      <c r="C26" s="45"/>
      <c r="D26" s="45"/>
      <c r="E26" s="45"/>
      <c r="F26" s="46"/>
      <c r="G26" s="46"/>
      <c r="H26" s="46"/>
      <c r="I26" s="46"/>
    </row>
    <row r="27" spans="2:9" x14ac:dyDescent="0.3">
      <c r="B27" s="36">
        <v>12</v>
      </c>
      <c r="C27" s="45"/>
      <c r="D27" s="45"/>
      <c r="E27" s="45"/>
      <c r="F27" s="46"/>
      <c r="G27" s="46"/>
      <c r="H27" s="46"/>
      <c r="I27" s="46"/>
    </row>
    <row r="28" spans="2:9" x14ac:dyDescent="0.3">
      <c r="B28" s="36">
        <v>13</v>
      </c>
      <c r="C28" s="45"/>
      <c r="D28" s="45"/>
      <c r="E28" s="45"/>
      <c r="F28" s="46"/>
      <c r="G28" s="46"/>
      <c r="H28" s="46"/>
      <c r="I28" s="46"/>
    </row>
    <row r="29" spans="2:9" x14ac:dyDescent="0.3">
      <c r="B29" s="36">
        <v>14</v>
      </c>
      <c r="C29" s="45"/>
      <c r="D29" s="45"/>
      <c r="E29" s="45"/>
      <c r="F29" s="46"/>
      <c r="G29" s="46"/>
      <c r="H29" s="46"/>
      <c r="I29" s="46"/>
    </row>
    <row r="30" spans="2:9" x14ac:dyDescent="0.3">
      <c r="B30" s="36">
        <v>15</v>
      </c>
      <c r="C30" s="45"/>
      <c r="D30" s="45"/>
      <c r="E30" s="45"/>
      <c r="F30" s="46"/>
      <c r="G30" s="46"/>
      <c r="H30" s="46"/>
      <c r="I30" s="46"/>
    </row>
    <row r="31" spans="2:9" x14ac:dyDescent="0.3">
      <c r="B31" s="36">
        <v>16</v>
      </c>
      <c r="C31" s="45"/>
      <c r="D31" s="45"/>
      <c r="E31" s="45"/>
      <c r="F31" s="46"/>
      <c r="G31" s="46"/>
      <c r="H31" s="46"/>
      <c r="I31" s="46"/>
    </row>
    <row r="32" spans="2:9" x14ac:dyDescent="0.3">
      <c r="B32" s="36">
        <v>17</v>
      </c>
      <c r="C32" s="45"/>
      <c r="D32" s="45"/>
      <c r="E32" s="45"/>
      <c r="F32" s="46"/>
      <c r="G32" s="46"/>
      <c r="H32" s="46"/>
      <c r="I32" s="46"/>
    </row>
    <row r="33" spans="2:9" x14ac:dyDescent="0.3">
      <c r="B33" s="36">
        <v>18</v>
      </c>
      <c r="C33" s="45"/>
      <c r="D33" s="45"/>
      <c r="E33" s="45"/>
      <c r="F33" s="46"/>
      <c r="G33" s="46"/>
      <c r="H33" s="46"/>
      <c r="I33" s="46"/>
    </row>
    <row r="34" spans="2:9" x14ac:dyDescent="0.3">
      <c r="B34" s="36">
        <v>19</v>
      </c>
      <c r="C34" s="45"/>
      <c r="D34" s="45"/>
      <c r="E34" s="45"/>
      <c r="F34" s="46"/>
      <c r="G34" s="46"/>
      <c r="H34" s="46"/>
      <c r="I34" s="46"/>
    </row>
    <row r="35" spans="2:9" x14ac:dyDescent="0.3">
      <c r="B35" s="36">
        <v>20</v>
      </c>
      <c r="C35" s="45"/>
      <c r="D35" s="45"/>
      <c r="E35" s="45"/>
      <c r="F35" s="46"/>
      <c r="G35" s="46"/>
      <c r="H35" s="46"/>
      <c r="I35" s="46"/>
    </row>
    <row r="37" spans="2:9" ht="15.6" x14ac:dyDescent="0.3">
      <c r="C37" s="32" t="s">
        <v>76</v>
      </c>
    </row>
    <row r="38" spans="2:9" x14ac:dyDescent="0.3">
      <c r="C38" s="19" t="s">
        <v>77</v>
      </c>
      <c r="D38" s="46">
        <v>12</v>
      </c>
    </row>
    <row r="39" spans="2:9" x14ac:dyDescent="0.3">
      <c r="C39" s="19" t="s">
        <v>78</v>
      </c>
      <c r="D39" s="46">
        <v>6</v>
      </c>
    </row>
    <row r="40" spans="2:9" x14ac:dyDescent="0.3">
      <c r="C40" s="19" t="s">
        <v>79</v>
      </c>
      <c r="D40" s="46" t="s">
        <v>80</v>
      </c>
    </row>
    <row r="41" spans="2:9" x14ac:dyDescent="0.3">
      <c r="C41" s="19" t="s">
        <v>81</v>
      </c>
      <c r="D41" s="46">
        <v>7</v>
      </c>
    </row>
    <row r="42" spans="2:9" x14ac:dyDescent="0.3">
      <c r="C42" s="19" t="s">
        <v>82</v>
      </c>
      <c r="D42" s="46" t="s">
        <v>83</v>
      </c>
    </row>
    <row r="43" spans="2:9" x14ac:dyDescent="0.3">
      <c r="D43" s="38"/>
    </row>
    <row r="44" spans="2:9" ht="15.6" x14ac:dyDescent="0.3">
      <c r="C44" s="32" t="s">
        <v>84</v>
      </c>
      <c r="D44" s="38"/>
    </row>
    <row r="45" spans="2:9" x14ac:dyDescent="0.3">
      <c r="C45" s="19" t="s">
        <v>85</v>
      </c>
      <c r="D45" s="46" t="s">
        <v>86</v>
      </c>
    </row>
    <row r="46" spans="2:9" x14ac:dyDescent="0.3">
      <c r="C46" s="19" t="s">
        <v>87</v>
      </c>
      <c r="D46" s="46" t="s">
        <v>88</v>
      </c>
    </row>
    <row r="48" spans="2:9" ht="15.6" x14ac:dyDescent="0.3">
      <c r="C48" s="32" t="s">
        <v>89</v>
      </c>
    </row>
    <row r="49" spans="3:4" x14ac:dyDescent="0.3">
      <c r="C49" s="24" t="s">
        <v>90</v>
      </c>
      <c r="D49" s="46">
        <v>22</v>
      </c>
    </row>
    <row r="50" spans="3:4" x14ac:dyDescent="0.3">
      <c r="C50" s="24" t="s">
        <v>91</v>
      </c>
      <c r="D50" s="46">
        <v>850</v>
      </c>
    </row>
    <row r="51" spans="3:4" x14ac:dyDescent="0.3">
      <c r="C51" s="24" t="s">
        <v>92</v>
      </c>
      <c r="D51" s="46">
        <v>250</v>
      </c>
    </row>
    <row r="52" spans="3:4" x14ac:dyDescent="0.3">
      <c r="C52" s="24" t="s">
        <v>93</v>
      </c>
      <c r="D52" s="46">
        <v>30</v>
      </c>
    </row>
    <row r="53" spans="3:4" x14ac:dyDescent="0.3">
      <c r="C53" s="24" t="s">
        <v>94</v>
      </c>
      <c r="D53" s="46">
        <v>1.3</v>
      </c>
    </row>
    <row r="54" spans="3:4" x14ac:dyDescent="0.3">
      <c r="C54" s="24" t="s">
        <v>95</v>
      </c>
      <c r="D54" s="36">
        <v>5</v>
      </c>
    </row>
    <row r="55" spans="3:4" x14ac:dyDescent="0.3">
      <c r="C55" s="24" t="s">
        <v>96</v>
      </c>
      <c r="D55" s="36">
        <v>1</v>
      </c>
    </row>
  </sheetData>
  <sheetProtection algorithmName="SHA-512" hashValue="UAJALNcQdDku/LGnnk1MSXGQegPKE38/u5GmJL+kh+GRGSffTLct+Tv/W6StMD/Vr8hOHxgFlCb626JA9YgbMQ==" saltValue="Xd2KAWpbaiFbvu84vvCF6Q==" spinCount="100000" sheet="1"/>
  <mergeCells count="1">
    <mergeCell ref="C1:I1"/>
  </mergeCells>
  <dataValidations count="13">
    <dataValidation type="whole" sqref="D12" xr:uid="{00000000-0002-0000-0200-000000000000}">
      <formula1>1</formula1>
      <formula2>100</formula2>
    </dataValidation>
    <dataValidation type="whole" sqref="D13" xr:uid="{00000000-0002-0000-0200-000001000000}">
      <formula1>1</formula1>
      <formula2>50</formula2>
    </dataValidation>
    <dataValidation type="list" sqref="D38" xr:uid="{00000000-0002-0000-0200-000003000000}">
      <formula1>"6,12,18,24,36,48,60,84,120"</formula1>
    </dataValidation>
    <dataValidation type="list" sqref="D39" xr:uid="{00000000-0002-0000-0200-000004000000}">
      <formula1>"3,6,12,24,36,60"</formula1>
    </dataValidation>
    <dataValidation type="list" sqref="D40" xr:uid="{00000000-0002-0000-0200-000005000000}">
      <formula1>"Daily,Weekly,Monthly"</formula1>
    </dataValidation>
    <dataValidation type="whole" sqref="D41" xr:uid="{00000000-0002-0000-0200-000006000000}">
      <formula1>1</formula1>
      <formula2>30</formula2>
    </dataValidation>
    <dataValidation type="list" sqref="D42" xr:uid="{00000000-0002-0000-0200-000007000000}">
      <formula1>"Local,Network Share,SFTP"</formula1>
    </dataValidation>
    <dataValidation type="list" sqref="D45" xr:uid="{00000000-0002-0000-0200-000008000000}">
      <formula1>"Yes,No"</formula1>
    </dataValidation>
    <dataValidation type="list" sqref="D46" xr:uid="{00000000-0002-0000-0200-000009000000}">
      <formula1>"None,1 Year,2 Years,3 Years,4 Years,5 Years"</formula1>
    </dataValidation>
    <dataValidation type="whole" sqref="F16:F35" xr:uid="{00000000-0002-0000-0200-00000B000000}">
      <formula1>0</formula1>
      <formula2>20</formula2>
    </dataValidation>
    <dataValidation type="whole" sqref="G16:G35" xr:uid="{00000000-0002-0000-0200-00000C000000}">
      <formula1>0</formula1>
      <formula2>50000</formula2>
    </dataValidation>
    <dataValidation type="whole" sqref="H16:H35" xr:uid="{00000000-0002-0000-0200-00000D000000}">
      <formula1>0</formula1>
      <formula2>200</formula2>
    </dataValidation>
    <dataValidation type="list" sqref="I16:I35" xr:uid="{00000000-0002-0000-0200-00000E000000}">
      <formula1>"TCP Push,TCP Pull,SFTP,Auto"</formula1>
    </dataValidation>
  </dataValidations>
  <pageMargins left="0.7" right="0.7" top="0.75" bottom="0.75" header="0.3" footer="0.3"/>
  <pageSetup orientation="portrait" horizontalDpi="4294967295" verticalDpi="429496729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xr:uid="{00000000-0002-0000-0200-000002000000}">
          <x14:formula1>
            <xm:f>'Reference Data'!$G$2:$G$6</xm:f>
          </x14:formula1>
          <xm:sqref>D16:D35</xm:sqref>
        </x14:dataValidation>
        <x14:dataValidation type="list" xr:uid="{00000000-0002-0000-0200-00000A000000}">
          <x14:formula1>
            <xm:f>'Reference Data'!$A$2:$A$16</xm:f>
          </x14:formula1>
          <xm:sqref>E16:E35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61"/>
  <sheetViews>
    <sheetView workbookViewId="0"/>
  </sheetViews>
  <sheetFormatPr defaultRowHeight="14.4" x14ac:dyDescent="0.3"/>
  <cols>
    <col min="1" max="1" width="3" style="16" customWidth="1"/>
    <col min="2" max="2" width="32" style="16" customWidth="1"/>
    <col min="3" max="8" width="18" style="38" customWidth="1"/>
    <col min="9" max="16384" width="8.88671875" style="16"/>
  </cols>
  <sheetData>
    <row r="1" spans="2:8" ht="21" x14ac:dyDescent="0.3">
      <c r="B1" s="15" t="s">
        <v>97</v>
      </c>
      <c r="C1" s="15"/>
      <c r="D1" s="15"/>
      <c r="E1" s="15"/>
      <c r="F1" s="15"/>
      <c r="G1" s="15"/>
      <c r="H1" s="15"/>
    </row>
    <row r="3" spans="2:8" ht="15.6" x14ac:dyDescent="0.3">
      <c r="B3" s="32" t="s">
        <v>98</v>
      </c>
    </row>
    <row r="4" spans="2:8" x14ac:dyDescent="0.3">
      <c r="B4" s="18" t="s">
        <v>99</v>
      </c>
      <c r="C4" s="39" t="s">
        <v>60</v>
      </c>
    </row>
    <row r="5" spans="2:8" x14ac:dyDescent="0.3">
      <c r="B5" s="19" t="s">
        <v>100</v>
      </c>
      <c r="C5" s="40">
        <f>SUM('Customer Input'!G16:G35)</f>
        <v>100</v>
      </c>
    </row>
    <row r="6" spans="2:8" x14ac:dyDescent="0.3">
      <c r="B6" s="19" t="s">
        <v>101</v>
      </c>
      <c r="C6" s="40">
        <f>SUM('Customer Input'!F16:F35)</f>
        <v>1</v>
      </c>
    </row>
    <row r="7" spans="2:8" x14ac:dyDescent="0.3">
      <c r="B7" s="19" t="s">
        <v>102</v>
      </c>
      <c r="C7" s="40">
        <f>COUNTIF('Customer Input'!G16:G35,"&gt;0")</f>
        <v>1</v>
      </c>
    </row>
    <row r="8" spans="2:8" x14ac:dyDescent="0.3">
      <c r="B8" s="19" t="s">
        <v>103</v>
      </c>
      <c r="C8" s="40">
        <f>SUMPRODUCT(('Customer Input'!G16:G35)*1,('Customer Input'!H16:H35)*1)</f>
        <v>1500</v>
      </c>
    </row>
    <row r="9" spans="2:8" x14ac:dyDescent="0.3">
      <c r="B9" s="19" t="s">
        <v>104</v>
      </c>
      <c r="C9" s="40">
        <f>C8*'Customer Input'!D49</f>
        <v>33000</v>
      </c>
    </row>
    <row r="10" spans="2:8" x14ac:dyDescent="0.3">
      <c r="B10" s="19" t="s">
        <v>105</v>
      </c>
      <c r="C10" s="40">
        <f>C9*12</f>
        <v>396000</v>
      </c>
    </row>
    <row r="12" spans="2:8" ht="15.6" x14ac:dyDescent="0.3">
      <c r="B12" s="32" t="s">
        <v>106</v>
      </c>
    </row>
    <row r="13" spans="2:8" x14ac:dyDescent="0.3">
      <c r="B13" s="18" t="s">
        <v>107</v>
      </c>
      <c r="C13" s="39" t="s">
        <v>60</v>
      </c>
      <c r="D13" s="39" t="s">
        <v>108</v>
      </c>
    </row>
    <row r="14" spans="2:8" x14ac:dyDescent="0.3">
      <c r="B14" s="24" t="s">
        <v>109</v>
      </c>
      <c r="C14" s="41">
        <f>(C9*'Customer Input'!D50)/(1024*1024*1024)</f>
        <v>2.6123598217964172E-2</v>
      </c>
      <c r="D14" s="36" t="s">
        <v>110</v>
      </c>
    </row>
    <row r="15" spans="2:8" x14ac:dyDescent="0.3">
      <c r="B15" s="24" t="s">
        <v>111</v>
      </c>
      <c r="C15" s="41">
        <f>C14*12</f>
        <v>0.31348317861557007</v>
      </c>
      <c r="D15" s="36" t="s">
        <v>110</v>
      </c>
    </row>
    <row r="16" spans="2:8" x14ac:dyDescent="0.3">
      <c r="B16" s="24" t="s">
        <v>112</v>
      </c>
      <c r="C16" s="41">
        <f>C14*'Customer Input'!D38</f>
        <v>0.31348317861557007</v>
      </c>
      <c r="D16" s="36" t="s">
        <v>110</v>
      </c>
    </row>
    <row r="17" spans="2:8" x14ac:dyDescent="0.3">
      <c r="B17" s="24" t="s">
        <v>113</v>
      </c>
      <c r="C17" s="41">
        <f>(C7*2+C5*0.0005+50)/1024</f>
        <v>5.0830078124999997E-2</v>
      </c>
      <c r="D17" s="36" t="s">
        <v>110</v>
      </c>
    </row>
    <row r="18" spans="2:8" x14ac:dyDescent="0.3">
      <c r="B18" s="24" t="s">
        <v>114</v>
      </c>
      <c r="C18" s="41">
        <f>C16*0.35</f>
        <v>0.10971911251544951</v>
      </c>
      <c r="D18" s="36" t="s">
        <v>110</v>
      </c>
    </row>
    <row r="19" spans="2:8" x14ac:dyDescent="0.3">
      <c r="B19" s="19" t="s">
        <v>115</v>
      </c>
      <c r="C19" s="42">
        <f>(C16+C18+C17)*'Customer Input'!D53</f>
        <v>0.61624208003282555</v>
      </c>
      <c r="D19" s="36" t="s">
        <v>110</v>
      </c>
    </row>
    <row r="21" spans="2:8" ht="15.6" x14ac:dyDescent="0.3">
      <c r="B21" s="32" t="s">
        <v>116</v>
      </c>
    </row>
    <row r="22" spans="2:8" x14ac:dyDescent="0.3">
      <c r="B22" s="33" t="s">
        <v>117</v>
      </c>
      <c r="C22" s="35" t="s">
        <v>118</v>
      </c>
      <c r="D22" s="35" t="s">
        <v>119</v>
      </c>
      <c r="E22" s="35" t="s">
        <v>120</v>
      </c>
      <c r="F22" s="35" t="s">
        <v>121</v>
      </c>
      <c r="G22" s="35" t="s">
        <v>122</v>
      </c>
      <c r="H22" s="35" t="s">
        <v>123</v>
      </c>
    </row>
    <row r="23" spans="2:8" x14ac:dyDescent="0.3">
      <c r="B23" s="25" t="s">
        <v>124</v>
      </c>
      <c r="C23" s="40">
        <f>C9*6</f>
        <v>198000</v>
      </c>
      <c r="D23" s="43">
        <f>(C14*6+C14*6*0.35+C17)*'Customer Input'!D53</f>
        <v>0.34116059079766275</v>
      </c>
      <c r="E23" s="41">
        <f>'Customer Input'!D52*C7*('Customer Input'!D51/1024/1024)*MIN(6,'Customer Input'!D39)</f>
        <v>4.291534423828125E-2</v>
      </c>
      <c r="F23" s="43">
        <f>D23*0.4*'Customer Input'!D41</f>
        <v>0.95524965423345565</v>
      </c>
      <c r="G23" s="43">
        <f t="shared" ref="G23:G31" si="0">(6+D23+E23+F23)*1.2</f>
        <v>8.8071907071232793</v>
      </c>
      <c r="H23" s="36" t="str">
        <f>IF(C5&lt;=250,IF(G23&lt;=80,"Small","Medium"),IF(C5&lt;=1000,IF(G23&lt;=250,"Medium","Large"),IF(C5&lt;=10000,"Large","Enterprise")))</f>
        <v>Small</v>
      </c>
    </row>
    <row r="24" spans="2:8" x14ac:dyDescent="0.3">
      <c r="B24" s="25" t="s">
        <v>125</v>
      </c>
      <c r="C24" s="40">
        <f>C9*12</f>
        <v>396000</v>
      </c>
      <c r="D24" s="43">
        <f>(C14*12+C14*12*0.35+C17)*'Customer Input'!D53</f>
        <v>0.61624208003282555</v>
      </c>
      <c r="E24" s="41">
        <f>'Customer Input'!D52*C7*('Customer Input'!D51/1024/1024)*MIN(12,'Customer Input'!D39)</f>
        <v>4.291534423828125E-2</v>
      </c>
      <c r="F24" s="43">
        <f>D24*0.4*'Customer Input'!D41</f>
        <v>1.7254778240919115</v>
      </c>
      <c r="G24" s="43">
        <f t="shared" si="0"/>
        <v>10.061562298035621</v>
      </c>
      <c r="H24" s="36" t="str">
        <f>IF(C5&lt;=250,IF(G24&lt;=80,"Small","Medium"),IF(C5&lt;=1000,IF(G24&lt;=250,"Medium","Large"),IF(C5&lt;=10000,"Large","Enterprise")))</f>
        <v>Small</v>
      </c>
    </row>
    <row r="25" spans="2:8" x14ac:dyDescent="0.3">
      <c r="B25" s="25" t="s">
        <v>126</v>
      </c>
      <c r="C25" s="40">
        <f>C9*18</f>
        <v>594000</v>
      </c>
      <c r="D25" s="43">
        <f>(C14*18+C14*18*0.35+C17)*'Customer Input'!D53</f>
        <v>0.89132356926798817</v>
      </c>
      <c r="E25" s="41">
        <f>'Customer Input'!D52*C7*('Customer Input'!D51/1024/1024)*MIN(18,'Customer Input'!D39)</f>
        <v>4.291534423828125E-2</v>
      </c>
      <c r="F25" s="43">
        <f>D25*0.4*'Customer Input'!D41</f>
        <v>2.4957059939503674</v>
      </c>
      <c r="G25" s="43">
        <f t="shared" si="0"/>
        <v>11.315933888947963</v>
      </c>
      <c r="H25" s="36" t="str">
        <f>IF(C5&lt;=250,IF(G25&lt;=80,"Small","Medium"),IF(C5&lt;=1000,IF(G25&lt;=250,"Medium","Large"),IF(C5&lt;=10000,"Large","Enterprise")))</f>
        <v>Small</v>
      </c>
    </row>
    <row r="26" spans="2:8" x14ac:dyDescent="0.3">
      <c r="B26" s="25" t="s">
        <v>127</v>
      </c>
      <c r="C26" s="40">
        <f>C9*24</f>
        <v>792000</v>
      </c>
      <c r="D26" s="43">
        <f>(C14*24+C14*24*0.35+C17)*'Customer Input'!D53</f>
        <v>1.1664050585031509</v>
      </c>
      <c r="E26" s="41">
        <f>'Customer Input'!D52*C7*('Customer Input'!D51/1024/1024)*MIN(24,'Customer Input'!D39)</f>
        <v>4.291534423828125E-2</v>
      </c>
      <c r="F26" s="43">
        <f>D26*0.4*'Customer Input'!D41</f>
        <v>3.2659341638088231</v>
      </c>
      <c r="G26" s="43">
        <f t="shared" si="0"/>
        <v>12.570305479860306</v>
      </c>
      <c r="H26" s="36" t="str">
        <f>IF(C5&lt;=250,IF(G26&lt;=80,"Small","Medium"),IF(C5&lt;=1000,IF(G26&lt;=250,"Medium","Large"),IF(C5&lt;=10000,"Large","Enterprise")))</f>
        <v>Small</v>
      </c>
    </row>
    <row r="27" spans="2:8" x14ac:dyDescent="0.3">
      <c r="B27" s="25" t="s">
        <v>128</v>
      </c>
      <c r="C27" s="40">
        <f>C9*36</f>
        <v>1188000</v>
      </c>
      <c r="D27" s="43">
        <f>(C14*36+C14*36*0.35+C17)*'Customer Input'!D53</f>
        <v>1.7165680369734764</v>
      </c>
      <c r="E27" s="41">
        <f>'Customer Input'!D52*C7*('Customer Input'!D51/1024/1024)*MIN(36,'Customer Input'!D39)</f>
        <v>4.291534423828125E-2</v>
      </c>
      <c r="F27" s="43">
        <f>D27*0.4*'Customer Input'!D41</f>
        <v>4.8063905035257344</v>
      </c>
      <c r="G27" s="43">
        <f t="shared" si="0"/>
        <v>15.07904866168499</v>
      </c>
      <c r="H27" s="36" t="str">
        <f>IF(C5&lt;=250,IF(G27&lt;=80,"Small","Medium"),IF(C5&lt;=1000,IF(G27&lt;=250,"Medium","Large"),IF(C5&lt;=10000,"Large","Enterprise")))</f>
        <v>Small</v>
      </c>
    </row>
    <row r="28" spans="2:8" x14ac:dyDescent="0.3">
      <c r="B28" s="25" t="s">
        <v>129</v>
      </c>
      <c r="C28" s="40">
        <f>C9*48</f>
        <v>1584000</v>
      </c>
      <c r="D28" s="43">
        <f>(C14*48+C14*48*0.35+C17)*'Customer Input'!D53</f>
        <v>2.2667310154438018</v>
      </c>
      <c r="E28" s="41">
        <f>'Customer Input'!D52*C7*('Customer Input'!D51/1024/1024)*MIN(48,'Customer Input'!D39)</f>
        <v>4.291534423828125E-2</v>
      </c>
      <c r="F28" s="43">
        <f>D28*0.4*'Customer Input'!D41</f>
        <v>6.3468468432426457</v>
      </c>
      <c r="G28" s="43">
        <f t="shared" si="0"/>
        <v>17.587791843509674</v>
      </c>
      <c r="H28" s="36" t="str">
        <f>IF(C5&lt;=250,IF(G28&lt;=80,"Small","Medium"),IF(C5&lt;=1000,IF(G28&lt;=250,"Medium","Large"),IF(C5&lt;=10000,"Large","Enterprise")))</f>
        <v>Small</v>
      </c>
    </row>
    <row r="29" spans="2:8" x14ac:dyDescent="0.3">
      <c r="B29" s="25" t="s">
        <v>130</v>
      </c>
      <c r="C29" s="40">
        <f>C9*60</f>
        <v>1980000</v>
      </c>
      <c r="D29" s="43">
        <f>(C14*60+C14*60*0.35+C17)*'Customer Input'!D53</f>
        <v>2.8168939939141278</v>
      </c>
      <c r="E29" s="41">
        <f>'Customer Input'!D52*C7*('Customer Input'!D51/1024/1024)*MIN(60,'Customer Input'!D39)</f>
        <v>4.291534423828125E-2</v>
      </c>
      <c r="F29" s="43">
        <f>D29*0.4*'Customer Input'!D41</f>
        <v>7.8873031829595579</v>
      </c>
      <c r="G29" s="43">
        <f t="shared" si="0"/>
        <v>20.096535025334358</v>
      </c>
      <c r="H29" s="36" t="str">
        <f>IF(C5&lt;=250,IF(G29&lt;=80,"Small","Medium"),IF(C5&lt;=1000,IF(G29&lt;=250,"Medium","Large"),IF(C5&lt;=10000,"Large","Enterprise")))</f>
        <v>Small</v>
      </c>
    </row>
    <row r="30" spans="2:8" x14ac:dyDescent="0.3">
      <c r="B30" s="25" t="s">
        <v>131</v>
      </c>
      <c r="C30" s="40">
        <f>C9*84</f>
        <v>2772000</v>
      </c>
      <c r="D30" s="43">
        <f>(C14*84+C14*84*0.35+C17)*'Customer Input'!D53</f>
        <v>3.9172199508547787</v>
      </c>
      <c r="E30" s="41">
        <f>'Customer Input'!D52*C7*('Customer Input'!D51/1024/1024)*MIN(84,'Customer Input'!D39)</f>
        <v>4.291534423828125E-2</v>
      </c>
      <c r="F30" s="43">
        <f>D30*0.4*'Customer Input'!D41</f>
        <v>10.968215862393381</v>
      </c>
      <c r="G30" s="43">
        <f t="shared" si="0"/>
        <v>25.114021388983726</v>
      </c>
      <c r="H30" s="36" t="str">
        <f>IF(C5&lt;=250,IF(G30&lt;=80,"Small","Medium"),IF(C5&lt;=1000,IF(G30&lt;=250,"Medium","Large"),IF(C5&lt;=10000,"Large","Enterprise")))</f>
        <v>Small</v>
      </c>
    </row>
    <row r="31" spans="2:8" x14ac:dyDescent="0.3">
      <c r="B31" s="25" t="s">
        <v>132</v>
      </c>
      <c r="C31" s="40">
        <f>C9*120</f>
        <v>3960000</v>
      </c>
      <c r="D31" s="43">
        <f>(C14*120+C14*120*0.35+C17)*'Customer Input'!D53</f>
        <v>5.5677088862657556</v>
      </c>
      <c r="E31" s="41">
        <f>'Customer Input'!D52*C7*('Customer Input'!D51/1024/1024)*MIN(120,'Customer Input'!D39)</f>
        <v>4.291534423828125E-2</v>
      </c>
      <c r="F31" s="43">
        <f>D31*0.4*'Customer Input'!D41</f>
        <v>15.589584881544114</v>
      </c>
      <c r="G31" s="43">
        <f t="shared" si="0"/>
        <v>32.640250934457775</v>
      </c>
      <c r="H31" s="36" t="str">
        <f>IF(C5&lt;=250,IF(G31&lt;=80,"Small","Medium"),IF(C5&lt;=1000,IF(G31&lt;=250,"Medium","Large"),IF(C5&lt;=10000,"Large","Enterprise")))</f>
        <v>Small</v>
      </c>
    </row>
    <row r="33" spans="2:3" ht="15.6" x14ac:dyDescent="0.3">
      <c r="B33" s="32" t="s">
        <v>133</v>
      </c>
    </row>
    <row r="34" spans="2:3" x14ac:dyDescent="0.3">
      <c r="B34" s="24" t="s">
        <v>134</v>
      </c>
      <c r="C34" s="40">
        <f>C7*'Customer Input'!D52</f>
        <v>30</v>
      </c>
    </row>
    <row r="35" spans="2:3" x14ac:dyDescent="0.3">
      <c r="B35" s="24" t="s">
        <v>135</v>
      </c>
      <c r="C35" s="41">
        <f>C34*('Customer Input'!D51/1024/1024)</f>
        <v>7.152557373046875E-3</v>
      </c>
    </row>
    <row r="36" spans="2:3" x14ac:dyDescent="0.3">
      <c r="B36" s="19" t="s">
        <v>136</v>
      </c>
      <c r="C36" s="42">
        <f>C35*'Customer Input'!D39</f>
        <v>4.291534423828125E-2</v>
      </c>
    </row>
    <row r="38" spans="2:3" ht="15.6" x14ac:dyDescent="0.3">
      <c r="B38" s="32" t="s">
        <v>137</v>
      </c>
    </row>
    <row r="39" spans="2:3" x14ac:dyDescent="0.3">
      <c r="B39" s="24" t="s">
        <v>138</v>
      </c>
      <c r="C39" s="41">
        <f>C19*0.4</f>
        <v>0.24649683201313022</v>
      </c>
    </row>
    <row r="40" spans="2:3" x14ac:dyDescent="0.3">
      <c r="B40" s="19" t="s">
        <v>139</v>
      </c>
      <c r="C40" s="42">
        <f>C39*'Customer Input'!D41</f>
        <v>1.7254778240919115</v>
      </c>
    </row>
    <row r="42" spans="2:3" ht="15.6" x14ac:dyDescent="0.3">
      <c r="B42" s="32" t="s">
        <v>140</v>
      </c>
    </row>
    <row r="43" spans="2:3" x14ac:dyDescent="0.3">
      <c r="B43" s="18" t="s">
        <v>107</v>
      </c>
      <c r="C43" s="39" t="s">
        <v>110</v>
      </c>
    </row>
    <row r="44" spans="2:3" x14ac:dyDescent="0.3">
      <c r="B44" s="24" t="s">
        <v>141</v>
      </c>
      <c r="C44" s="43">
        <v>5</v>
      </c>
    </row>
    <row r="45" spans="2:3" x14ac:dyDescent="0.3">
      <c r="B45" s="24" t="s">
        <v>142</v>
      </c>
      <c r="C45" s="43">
        <v>1</v>
      </c>
    </row>
    <row r="46" spans="2:3" x14ac:dyDescent="0.3">
      <c r="B46" s="24" t="s">
        <v>143</v>
      </c>
      <c r="C46" s="43">
        <f>C19</f>
        <v>0.61624208003282555</v>
      </c>
    </row>
    <row r="47" spans="2:3" x14ac:dyDescent="0.3">
      <c r="B47" s="24" t="s">
        <v>144</v>
      </c>
      <c r="C47" s="43">
        <f>C36</f>
        <v>4.291534423828125E-2</v>
      </c>
    </row>
    <row r="48" spans="2:3" x14ac:dyDescent="0.3">
      <c r="B48" s="24" t="s">
        <v>145</v>
      </c>
      <c r="C48" s="43">
        <f>C40</f>
        <v>1.7254778240919115</v>
      </c>
    </row>
    <row r="49" spans="2:6" x14ac:dyDescent="0.3">
      <c r="B49" s="24" t="s">
        <v>146</v>
      </c>
      <c r="C49" s="43">
        <f>(5+1+C19+C36+C40)*0.2</f>
        <v>1.6769270496726039</v>
      </c>
    </row>
    <row r="50" spans="2:6" x14ac:dyDescent="0.3">
      <c r="B50" s="34" t="s">
        <v>147</v>
      </c>
      <c r="C50" s="44">
        <f>5+1+C19+C36+C40+C49</f>
        <v>10.061562298035621</v>
      </c>
    </row>
    <row r="52" spans="2:6" ht="15.6" x14ac:dyDescent="0.3">
      <c r="B52" s="32" t="s">
        <v>148</v>
      </c>
    </row>
    <row r="53" spans="2:6" x14ac:dyDescent="0.3">
      <c r="B53" s="33" t="s">
        <v>149</v>
      </c>
      <c r="C53" s="35" t="s">
        <v>150</v>
      </c>
      <c r="D53" s="35" t="s">
        <v>151</v>
      </c>
      <c r="E53" s="35" t="s">
        <v>152</v>
      </c>
      <c r="F53" s="35" t="s">
        <v>153</v>
      </c>
    </row>
    <row r="54" spans="2:6" x14ac:dyDescent="0.3">
      <c r="B54" s="19" t="s">
        <v>154</v>
      </c>
      <c r="C54" s="36">
        <v>250</v>
      </c>
      <c r="D54" s="36">
        <v>1000</v>
      </c>
      <c r="E54" s="36">
        <v>10000</v>
      </c>
      <c r="F54" s="36" t="s">
        <v>155</v>
      </c>
    </row>
    <row r="55" spans="2:6" x14ac:dyDescent="0.3">
      <c r="B55" s="19" t="s">
        <v>156</v>
      </c>
      <c r="C55" s="36" t="s">
        <v>157</v>
      </c>
      <c r="D55" s="36" t="s">
        <v>158</v>
      </c>
      <c r="E55" s="36" t="s">
        <v>159</v>
      </c>
      <c r="F55" s="36" t="s">
        <v>160</v>
      </c>
    </row>
    <row r="56" spans="2:6" x14ac:dyDescent="0.3">
      <c r="B56" s="19" t="s">
        <v>161</v>
      </c>
      <c r="C56" s="36">
        <v>4</v>
      </c>
      <c r="D56" s="36">
        <v>8</v>
      </c>
      <c r="E56" s="36">
        <v>16</v>
      </c>
      <c r="F56" s="36">
        <v>32</v>
      </c>
    </row>
    <row r="57" spans="2:6" x14ac:dyDescent="0.3">
      <c r="B57" s="19" t="s">
        <v>162</v>
      </c>
      <c r="C57" s="36">
        <v>8</v>
      </c>
      <c r="D57" s="36">
        <v>16</v>
      </c>
      <c r="E57" s="36">
        <v>32</v>
      </c>
      <c r="F57" s="36">
        <v>64</v>
      </c>
    </row>
    <row r="58" spans="2:6" x14ac:dyDescent="0.3">
      <c r="B58" s="19" t="s">
        <v>163</v>
      </c>
      <c r="C58" s="36">
        <v>80</v>
      </c>
      <c r="D58" s="36">
        <v>250</v>
      </c>
      <c r="E58" s="36">
        <v>500</v>
      </c>
      <c r="F58" s="36">
        <v>1000</v>
      </c>
    </row>
    <row r="59" spans="2:6" x14ac:dyDescent="0.3">
      <c r="B59" s="19" t="s">
        <v>164</v>
      </c>
      <c r="C59" s="36" t="s">
        <v>165</v>
      </c>
      <c r="D59" s="36" t="s">
        <v>166</v>
      </c>
      <c r="E59" s="36" t="s">
        <v>167</v>
      </c>
      <c r="F59" s="36" t="s">
        <v>167</v>
      </c>
    </row>
    <row r="61" spans="2:6" ht="18" x14ac:dyDescent="0.3">
      <c r="B61" s="32" t="s">
        <v>168</v>
      </c>
      <c r="C61" s="37" t="str">
        <f>IF(C5&lt;=250,"Small",IF(C5&lt;=1000,"Medium",IF(C5&lt;=10000,"Large","Enterprise")))</f>
        <v>Small</v>
      </c>
      <c r="D61" s="37"/>
    </row>
  </sheetData>
  <sheetProtection algorithmName="SHA-512" hashValue="BGEJPReznOz33VcDVzS9ApDrlEDgqDaa145z64ib6yNnMVT4WIAcoSDyenXLu+qpb7sqKx5EfYRsplh/BwPt3A==" saltValue="m8EWVPWvwby3t1sfkYTmXQ==" spinCount="100000" sheet="1"/>
  <mergeCells count="2">
    <mergeCell ref="B1:H1"/>
    <mergeCell ref="C61:D61"/>
  </mergeCells>
  <pageMargins left="0.7" right="0.7" top="0.75" bottom="0.75" header="0.3" footer="0.3"/>
  <pageSetup orientation="portrait" horizontalDpi="4294967295" verticalDpi="429496729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000000-000E-0000-0300-000001000000}">
            <xm:f>'Customer Input'!D38=6</xm:f>
            <x14:dxf>
              <fill>
                <patternFill patternType="solid">
                  <bgColor rgb="FFC6EFCE"/>
                </patternFill>
              </fill>
            </x14:dxf>
          </x14:cfRule>
          <xm:sqref>B23:H23</xm:sqref>
        </x14:conditionalFormatting>
        <x14:conditionalFormatting xmlns:xm="http://schemas.microsoft.com/office/excel/2006/main">
          <x14:cfRule type="expression" priority="2" id="{00000000-000E-0000-0300-000002000000}">
            <xm:f>'Customer Input'!D38=12</xm:f>
            <x14:dxf>
              <fill>
                <patternFill patternType="solid">
                  <bgColor rgb="FFC6EFCE"/>
                </patternFill>
              </fill>
            </x14:dxf>
          </x14:cfRule>
          <xm:sqref>B24:H24</xm:sqref>
        </x14:conditionalFormatting>
        <x14:conditionalFormatting xmlns:xm="http://schemas.microsoft.com/office/excel/2006/main">
          <x14:cfRule type="expression" priority="3" id="{00000000-000E-0000-0300-000003000000}">
            <xm:f>'Customer Input'!D38=18</xm:f>
            <x14:dxf>
              <fill>
                <patternFill patternType="solid">
                  <bgColor rgb="FFC6EFCE"/>
                </patternFill>
              </fill>
            </x14:dxf>
          </x14:cfRule>
          <xm:sqref>B25:H25</xm:sqref>
        </x14:conditionalFormatting>
        <x14:conditionalFormatting xmlns:xm="http://schemas.microsoft.com/office/excel/2006/main">
          <x14:cfRule type="expression" priority="4" id="{00000000-000E-0000-0300-000004000000}">
            <xm:f>'Customer Input'!D38=24</xm:f>
            <x14:dxf>
              <fill>
                <patternFill patternType="solid">
                  <bgColor rgb="FFC6EFCE"/>
                </patternFill>
              </fill>
            </x14:dxf>
          </x14:cfRule>
          <xm:sqref>B26:H26</xm:sqref>
        </x14:conditionalFormatting>
        <x14:conditionalFormatting xmlns:xm="http://schemas.microsoft.com/office/excel/2006/main">
          <x14:cfRule type="expression" priority="5" id="{00000000-000E-0000-0300-000005000000}">
            <xm:f>'Customer Input'!D38=36</xm:f>
            <x14:dxf>
              <fill>
                <patternFill patternType="solid">
                  <bgColor rgb="FFC6EFCE"/>
                </patternFill>
              </fill>
            </x14:dxf>
          </x14:cfRule>
          <xm:sqref>B27:H27</xm:sqref>
        </x14:conditionalFormatting>
        <x14:conditionalFormatting xmlns:xm="http://schemas.microsoft.com/office/excel/2006/main">
          <x14:cfRule type="expression" priority="6" id="{00000000-000E-0000-0300-000006000000}">
            <xm:f>'Customer Input'!D38=48</xm:f>
            <x14:dxf>
              <fill>
                <patternFill patternType="solid">
                  <bgColor rgb="FFC6EFCE"/>
                </patternFill>
              </fill>
            </x14:dxf>
          </x14:cfRule>
          <xm:sqref>B28:H28</xm:sqref>
        </x14:conditionalFormatting>
        <x14:conditionalFormatting xmlns:xm="http://schemas.microsoft.com/office/excel/2006/main">
          <x14:cfRule type="expression" priority="7" id="{00000000-000E-0000-0300-000007000000}">
            <xm:f>'Customer Input'!D38=60</xm:f>
            <x14:dxf>
              <fill>
                <patternFill patternType="solid">
                  <bgColor rgb="FFC6EFCE"/>
                </patternFill>
              </fill>
            </x14:dxf>
          </x14:cfRule>
          <xm:sqref>B29:H29</xm:sqref>
        </x14:conditionalFormatting>
        <x14:conditionalFormatting xmlns:xm="http://schemas.microsoft.com/office/excel/2006/main">
          <x14:cfRule type="expression" priority="8" id="{00000000-000E-0000-0300-000008000000}">
            <xm:f>'Customer Input'!D38=84</xm:f>
            <x14:dxf>
              <fill>
                <patternFill patternType="solid">
                  <bgColor rgb="FFC6EFCE"/>
                </patternFill>
              </fill>
            </x14:dxf>
          </x14:cfRule>
          <xm:sqref>B30:H30</xm:sqref>
        </x14:conditionalFormatting>
        <x14:conditionalFormatting xmlns:xm="http://schemas.microsoft.com/office/excel/2006/main">
          <x14:cfRule type="expression" priority="9" id="{00000000-000E-0000-0300-000009000000}">
            <xm:f>'Customer Input'!D38=120</xm:f>
            <x14:dxf>
              <fill>
                <patternFill patternType="solid">
                  <bgColor rgb="FFC6EFCE"/>
                </patternFill>
              </fill>
            </x14:dxf>
          </x14:cfRule>
          <xm:sqref>B31:H31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6600"/>
  </sheetPr>
  <dimension ref="B1:G11"/>
  <sheetViews>
    <sheetView workbookViewId="0">
      <selection activeCell="E11" sqref="E11"/>
    </sheetView>
  </sheetViews>
  <sheetFormatPr defaultRowHeight="14.4" x14ac:dyDescent="0.3"/>
  <cols>
    <col min="1" max="1" width="3" customWidth="1"/>
    <col min="2" max="2" width="5" customWidth="1"/>
    <col min="3" max="3" width="18" customWidth="1"/>
    <col min="4" max="4" width="32" customWidth="1"/>
    <col min="5" max="5" width="12" customWidth="1"/>
    <col min="6" max="6" width="28" customWidth="1"/>
  </cols>
  <sheetData>
    <row r="1" spans="2:7" ht="21" x14ac:dyDescent="0.4">
      <c r="C1" s="14" t="s">
        <v>169</v>
      </c>
      <c r="D1" s="14"/>
      <c r="E1" s="14"/>
      <c r="F1" s="14"/>
      <c r="G1" s="14"/>
    </row>
    <row r="4" spans="2:7" x14ac:dyDescent="0.3">
      <c r="B4" s="10" t="s">
        <v>69</v>
      </c>
      <c r="C4" s="10" t="s">
        <v>170</v>
      </c>
      <c r="D4" s="10" t="s">
        <v>171</v>
      </c>
      <c r="E4" s="10" t="s">
        <v>172</v>
      </c>
      <c r="F4" s="10" t="s">
        <v>173</v>
      </c>
    </row>
    <row r="5" spans="2:7" x14ac:dyDescent="0.3">
      <c r="B5" s="11">
        <v>1</v>
      </c>
      <c r="C5" s="12" t="s">
        <v>174</v>
      </c>
      <c r="D5" s="12" t="s">
        <v>175</v>
      </c>
      <c r="E5" s="13">
        <v>1</v>
      </c>
      <c r="F5" s="12" t="s">
        <v>176</v>
      </c>
    </row>
    <row r="6" spans="2:7" x14ac:dyDescent="0.3">
      <c r="B6" s="11">
        <v>2</v>
      </c>
      <c r="C6" s="12" t="s">
        <v>177</v>
      </c>
      <c r="D6" s="12" t="s">
        <v>178</v>
      </c>
      <c r="E6" s="13">
        <f>'Sizing Results'!C7</f>
        <v>1</v>
      </c>
      <c r="F6" s="12" t="s">
        <v>179</v>
      </c>
    </row>
    <row r="7" spans="2:7" x14ac:dyDescent="0.3">
      <c r="B7" s="11">
        <v>3</v>
      </c>
      <c r="C7" s="12" t="s">
        <v>180</v>
      </c>
      <c r="D7" s="12" t="s">
        <v>181</v>
      </c>
      <c r="E7" s="13">
        <f>'Sizing Results'!C6</f>
        <v>1</v>
      </c>
      <c r="F7" s="12" t="s">
        <v>182</v>
      </c>
    </row>
    <row r="8" spans="2:7" x14ac:dyDescent="0.3">
      <c r="B8" s="11">
        <v>4</v>
      </c>
      <c r="C8" s="12" t="s">
        <v>183</v>
      </c>
      <c r="D8" s="12" t="s">
        <v>184</v>
      </c>
      <c r="E8" s="13">
        <f>'Sizing Results'!C5</f>
        <v>100</v>
      </c>
      <c r="F8" s="12" t="s">
        <v>185</v>
      </c>
    </row>
    <row r="9" spans="2:7" x14ac:dyDescent="0.3">
      <c r="B9" s="11">
        <v>5</v>
      </c>
      <c r="C9" s="12" t="s">
        <v>186</v>
      </c>
      <c r="D9" s="12" t="s">
        <v>187</v>
      </c>
      <c r="E9" s="13">
        <f>MAX('Customer Input'!D13-1,0)</f>
        <v>0</v>
      </c>
      <c r="F9" s="12" t="s">
        <v>188</v>
      </c>
    </row>
    <row r="10" spans="2:7" x14ac:dyDescent="0.3">
      <c r="B10" s="11">
        <v>6</v>
      </c>
      <c r="C10" s="12" t="s">
        <v>189</v>
      </c>
      <c r="D10" s="12" t="s">
        <v>85</v>
      </c>
      <c r="E10" s="13">
        <f>IF('Customer Input'!D45="Yes",1,0)</f>
        <v>0</v>
      </c>
      <c r="F10" s="12" t="s">
        <v>190</v>
      </c>
    </row>
    <row r="11" spans="2:7" x14ac:dyDescent="0.3">
      <c r="B11" s="11">
        <v>7</v>
      </c>
      <c r="C11" s="12" t="str">
        <f>IF('Customer Input'!D46="None","—",IF('Customer Input'!D46="1 Year","CA-SA-01Y",IF('Customer Input'!D46="2 Years","CA-SA-02Y",IF('Customer Input'!D46="3 Years","CA-SA-03Y",IF('Customer Input'!D46="4 Years","CA-SA-04Y","CA-SA-05Y")))))</f>
        <v>—</v>
      </c>
      <c r="D11" s="12" t="str">
        <f>IF('Customer Input'!D46="None","(not selected)","Software Assurance ("&amp;'Customer Input'!D46&amp;")")</f>
        <v>(not selected)</v>
      </c>
      <c r="E11" s="13">
        <f>IF('Customer Input'!D46="None",0,25+'Sizing Results'!C7*25+'Sizing Results'!C6*25+'Sizing Results'!C5)</f>
        <v>0</v>
      </c>
      <c r="F11" s="12" t="s">
        <v>191</v>
      </c>
    </row>
  </sheetData>
  <sheetProtection algorithmName="SHA-512" hashValue="HMxaOR+VElvC9RCWLdwOmZDBAN94xxBBS1VzlivKFaet8LgoKarzlQOEFerM+ODslz2+sfrTz+deGlSG7a8WeA==" saltValue="iO8zcySoAyysCFhMUkGNYA==" spinCount="100000" sheet="1"/>
  <mergeCells count="1">
    <mergeCell ref="C1:G1"/>
  </mergeCells>
  <pageMargins left="0.7" right="0.7" top="0.75" bottom="0.75" header="0.3" footer="0.3"/>
  <pageSetup orientation="portrait" horizontalDpi="4294967295" verticalDpi="429496729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B2:F52"/>
  <sheetViews>
    <sheetView workbookViewId="0">
      <selection activeCell="C49" sqref="C49"/>
    </sheetView>
  </sheetViews>
  <sheetFormatPr defaultRowHeight="14.4" x14ac:dyDescent="0.3"/>
  <cols>
    <col min="1" max="1" width="3" style="16" customWidth="1"/>
    <col min="2" max="2" width="25" style="16" customWidth="1"/>
    <col min="3" max="3" width="18" style="16" customWidth="1"/>
    <col min="4" max="4" width="8.88671875" style="16" customWidth="1"/>
    <col min="5" max="5" width="25" style="16" customWidth="1"/>
    <col min="6" max="6" width="18" style="16" customWidth="1"/>
    <col min="7" max="16384" width="8.88671875" style="16"/>
  </cols>
  <sheetData>
    <row r="2" spans="2:6" ht="21" x14ac:dyDescent="0.3">
      <c r="B2" s="15" t="s">
        <v>192</v>
      </c>
      <c r="C2" s="15"/>
      <c r="D2" s="15"/>
      <c r="E2" s="15"/>
      <c r="F2" s="15"/>
    </row>
    <row r="3" spans="2:6" ht="15.6" x14ac:dyDescent="0.3">
      <c r="B3" s="17" t="s">
        <v>193</v>
      </c>
    </row>
    <row r="5" spans="2:6" x14ac:dyDescent="0.3">
      <c r="B5" s="18" t="s">
        <v>194</v>
      </c>
      <c r="C5" s="18"/>
      <c r="D5" s="18"/>
      <c r="E5" s="18"/>
      <c r="F5" s="18"/>
    </row>
    <row r="6" spans="2:6" x14ac:dyDescent="0.3">
      <c r="B6" s="19" t="s">
        <v>195</v>
      </c>
      <c r="C6" s="20" t="str">
        <f>'Customer Input'!D5</f>
        <v/>
      </c>
    </row>
    <row r="7" spans="2:6" x14ac:dyDescent="0.3">
      <c r="B7" s="19" t="s">
        <v>196</v>
      </c>
      <c r="C7" s="20" t="str">
        <f>'Customer Input'!D6</f>
        <v/>
      </c>
    </row>
    <row r="8" spans="2:6" x14ac:dyDescent="0.3">
      <c r="B8" s="19" t="s">
        <v>197</v>
      </c>
      <c r="C8" s="20" t="str">
        <f>'Customer Input'!D7</f>
        <v/>
      </c>
    </row>
    <row r="9" spans="2:6" x14ac:dyDescent="0.3">
      <c r="B9" s="19" t="s">
        <v>198</v>
      </c>
      <c r="C9" s="21">
        <f>'Customer Input'!D8</f>
        <v>46099.913955856478</v>
      </c>
    </row>
    <row r="11" spans="2:6" x14ac:dyDescent="0.3">
      <c r="B11" s="18" t="s">
        <v>199</v>
      </c>
      <c r="C11" s="18"/>
      <c r="D11" s="18"/>
      <c r="E11" s="18"/>
      <c r="F11" s="18"/>
    </row>
    <row r="12" spans="2:6" x14ac:dyDescent="0.3">
      <c r="B12" s="19" t="s">
        <v>200</v>
      </c>
      <c r="C12" s="22">
        <f>'Sizing Results'!C7</f>
        <v>1</v>
      </c>
    </row>
    <row r="13" spans="2:6" x14ac:dyDescent="0.3">
      <c r="B13" s="19" t="s">
        <v>201</v>
      </c>
      <c r="C13" s="22">
        <f>'Sizing Results'!C6</f>
        <v>1</v>
      </c>
    </row>
    <row r="14" spans="2:6" x14ac:dyDescent="0.3">
      <c r="B14" s="19" t="s">
        <v>100</v>
      </c>
      <c r="C14" s="22">
        <f>'Sizing Results'!C5</f>
        <v>100</v>
      </c>
    </row>
    <row r="15" spans="2:6" x14ac:dyDescent="0.3">
      <c r="B15" s="19" t="s">
        <v>202</v>
      </c>
      <c r="C15" s="22">
        <f>'Customer Input'!D13</f>
        <v>1</v>
      </c>
    </row>
    <row r="16" spans="2:6" x14ac:dyDescent="0.3">
      <c r="B16" s="19" t="s">
        <v>203</v>
      </c>
      <c r="C16" s="22">
        <f>'Sizing Results'!C8</f>
        <v>1500</v>
      </c>
    </row>
    <row r="17" spans="2:6" x14ac:dyDescent="0.3">
      <c r="B17" s="19" t="s">
        <v>204</v>
      </c>
      <c r="C17" s="22">
        <f>'Sizing Results'!C10</f>
        <v>396000</v>
      </c>
    </row>
    <row r="19" spans="2:6" x14ac:dyDescent="0.3">
      <c r="B19" s="18" t="s">
        <v>205</v>
      </c>
      <c r="C19" s="18"/>
      <c r="D19" s="18"/>
      <c r="E19" s="18"/>
      <c r="F19" s="18"/>
    </row>
    <row r="20" spans="2:6" ht="15.6" x14ac:dyDescent="0.3">
      <c r="B20" s="19" t="s">
        <v>206</v>
      </c>
      <c r="C20" s="23" t="str">
        <f>'Sizing Results'!C61</f>
        <v>Small</v>
      </c>
    </row>
    <row r="21" spans="2:6" x14ac:dyDescent="0.3">
      <c r="B21" s="24" t="s">
        <v>207</v>
      </c>
      <c r="C21" s="25" t="str">
        <f>IF('Sizing Results'!C61="Small","4 cores",IF('Sizing Results'!C61="Medium","8 cores",IF('Sizing Results'!C61="Large","16 cores","32 cores")))</f>
        <v>4 cores</v>
      </c>
    </row>
    <row r="22" spans="2:6" x14ac:dyDescent="0.3">
      <c r="B22" s="24" t="s">
        <v>208</v>
      </c>
      <c r="C22" s="25" t="str">
        <f>IF('Sizing Results'!C61="Small","8 GB",IF('Sizing Results'!C61="Medium","16 GB",IF('Sizing Results'!C61="Large","32 GB","64 GB")))</f>
        <v>8 GB</v>
      </c>
    </row>
    <row r="23" spans="2:6" x14ac:dyDescent="0.3">
      <c r="B23" s="24" t="s">
        <v>209</v>
      </c>
      <c r="C23" s="25" t="str">
        <f>IF('Sizing Results'!C61="Small","80 GB SSD",IF('Sizing Results'!C61="Medium","250 GB SSD",IF('Sizing Results'!C61="Large","500 GB SSD","1 TB NVMe")))</f>
        <v>80 GB SSD</v>
      </c>
    </row>
    <row r="24" spans="2:6" x14ac:dyDescent="0.3">
      <c r="B24" s="24" t="s">
        <v>210</v>
      </c>
      <c r="C24" s="25" t="str">
        <f>IF('Sizing Results'!C61="Small","Windows 10/11 Pro",IF('Sizing Results'!C61="Medium","Windows Server 2019+","Windows Server 2022"))</f>
        <v>Windows 10/11 Pro</v>
      </c>
    </row>
    <row r="25" spans="2:6" x14ac:dyDescent="0.3">
      <c r="B25" s="24" t="s">
        <v>143</v>
      </c>
      <c r="C25" s="25" t="s">
        <v>211</v>
      </c>
    </row>
    <row r="26" spans="2:6" x14ac:dyDescent="0.3">
      <c r="B26" s="19" t="s">
        <v>212</v>
      </c>
      <c r="C26" s="26" t="str">
        <f>TEXT('Sizing Results'!C50,"#,##0.0")&amp;" GB"</f>
        <v>10.1 GB</v>
      </c>
    </row>
    <row r="28" spans="2:6" x14ac:dyDescent="0.3">
      <c r="B28" s="18" t="s">
        <v>213</v>
      </c>
      <c r="C28" s="18"/>
      <c r="D28" s="18"/>
      <c r="E28" s="18"/>
      <c r="F28" s="18"/>
    </row>
    <row r="29" spans="2:6" x14ac:dyDescent="0.3">
      <c r="B29" s="27" t="s">
        <v>117</v>
      </c>
      <c r="C29" s="27" t="s">
        <v>143</v>
      </c>
      <c r="D29" s="27" t="s">
        <v>145</v>
      </c>
      <c r="E29" s="27" t="s">
        <v>214</v>
      </c>
    </row>
    <row r="30" spans="2:6" x14ac:dyDescent="0.3">
      <c r="B30" s="25" t="s">
        <v>124</v>
      </c>
      <c r="C30" s="28">
        <f>'Sizing Results'!D23</f>
        <v>0.34116059079766275</v>
      </c>
      <c r="D30" s="28">
        <f>'Sizing Results'!F23</f>
        <v>0.95524965423345565</v>
      </c>
      <c r="E30" s="28">
        <f>'Sizing Results'!G23</f>
        <v>8.8071907071232793</v>
      </c>
    </row>
    <row r="31" spans="2:6" x14ac:dyDescent="0.3">
      <c r="B31" s="25" t="s">
        <v>125</v>
      </c>
      <c r="C31" s="28">
        <f>'Sizing Results'!D24</f>
        <v>0.61624208003282555</v>
      </c>
      <c r="D31" s="28">
        <f>'Sizing Results'!F24</f>
        <v>1.7254778240919115</v>
      </c>
      <c r="E31" s="28">
        <f>'Sizing Results'!G24</f>
        <v>10.061562298035621</v>
      </c>
    </row>
    <row r="32" spans="2:6" x14ac:dyDescent="0.3">
      <c r="B32" s="25" t="s">
        <v>127</v>
      </c>
      <c r="C32" s="28">
        <f>'Sizing Results'!D26</f>
        <v>1.1664050585031509</v>
      </c>
      <c r="D32" s="28">
        <f>'Sizing Results'!F26</f>
        <v>3.2659341638088231</v>
      </c>
      <c r="E32" s="28">
        <f>'Sizing Results'!G26</f>
        <v>12.570305479860306</v>
      </c>
    </row>
    <row r="33" spans="2:6" x14ac:dyDescent="0.3">
      <c r="B33" s="25" t="s">
        <v>129</v>
      </c>
      <c r="C33" s="28">
        <f>'Sizing Results'!D28</f>
        <v>2.2667310154438018</v>
      </c>
      <c r="D33" s="28">
        <f>'Sizing Results'!F28</f>
        <v>6.3468468432426457</v>
      </c>
      <c r="E33" s="28">
        <f>'Sizing Results'!G28</f>
        <v>17.587791843509674</v>
      </c>
    </row>
    <row r="34" spans="2:6" x14ac:dyDescent="0.3">
      <c r="B34" s="25" t="s">
        <v>132</v>
      </c>
      <c r="C34" s="28">
        <f>'Sizing Results'!D31</f>
        <v>5.5677088862657556</v>
      </c>
      <c r="D34" s="28">
        <f>'Sizing Results'!F31</f>
        <v>15.589584881544114</v>
      </c>
      <c r="E34" s="28">
        <f>'Sizing Results'!G31</f>
        <v>32.640250934457775</v>
      </c>
    </row>
    <row r="36" spans="2:6" x14ac:dyDescent="0.3">
      <c r="B36" s="18" t="s">
        <v>215</v>
      </c>
      <c r="C36" s="18"/>
      <c r="D36" s="18"/>
      <c r="E36" s="18"/>
      <c r="F36" s="18"/>
    </row>
    <row r="37" spans="2:6" x14ac:dyDescent="0.3">
      <c r="B37" s="19" t="s">
        <v>216</v>
      </c>
      <c r="C37" s="25" t="str">
        <f>'Customer Input'!D38&amp;" months"</f>
        <v>12 months</v>
      </c>
      <c r="E37" s="19" t="s">
        <v>217</v>
      </c>
      <c r="F37" s="25" t="str">
        <f>'Customer Input'!D39&amp;" months"</f>
        <v>6 months</v>
      </c>
    </row>
    <row r="38" spans="2:6" x14ac:dyDescent="0.3">
      <c r="B38" s="19" t="s">
        <v>218</v>
      </c>
      <c r="C38" s="25">
        <f>'Customer Input'!D41</f>
        <v>7</v>
      </c>
    </row>
    <row r="40" spans="2:6" x14ac:dyDescent="0.3">
      <c r="B40" s="18" t="s">
        <v>169</v>
      </c>
      <c r="C40" s="18"/>
      <c r="D40" s="18"/>
      <c r="E40" s="18"/>
      <c r="F40" s="18"/>
    </row>
    <row r="41" spans="2:6" x14ac:dyDescent="0.3">
      <c r="B41" s="25" t="str">
        <f>'License BOM'!C5</f>
        <v>CA-BASE-0001</v>
      </c>
      <c r="C41" s="25" t="str">
        <f>'License BOM'!D5</f>
        <v>Base Package</v>
      </c>
      <c r="E41" s="29">
        <f>'License BOM'!E5</f>
        <v>1</v>
      </c>
    </row>
    <row r="42" spans="2:6" x14ac:dyDescent="0.3">
      <c r="B42" s="25" t="str">
        <f>'License BOM'!C6</f>
        <v>CA-SITE-0001</v>
      </c>
      <c r="C42" s="25" t="str">
        <f>'License BOM'!D6</f>
        <v>Site License</v>
      </c>
      <c r="E42" s="29">
        <f>'License BOM'!E6</f>
        <v>1</v>
      </c>
    </row>
    <row r="43" spans="2:6" x14ac:dyDescent="0.3">
      <c r="B43" s="25" t="str">
        <f>'License BOM'!C7</f>
        <v>CA-PBX-0001</v>
      </c>
      <c r="C43" s="25" t="str">
        <f>'License BOM'!D7</f>
        <v>PBX Connection</v>
      </c>
      <c r="E43" s="29">
        <f>'License BOM'!E7</f>
        <v>1</v>
      </c>
    </row>
    <row r="44" spans="2:6" x14ac:dyDescent="0.3">
      <c r="B44" s="25" t="str">
        <f>'License BOM'!C8</f>
        <v>CA-EXT-0001</v>
      </c>
      <c r="C44" s="25" t="str">
        <f>'License BOM'!D8</f>
        <v>Extension License</v>
      </c>
      <c r="E44" s="29">
        <f>'License BOM'!E8</f>
        <v>100</v>
      </c>
    </row>
    <row r="45" spans="2:6" x14ac:dyDescent="0.3">
      <c r="B45" s="25" t="str">
        <f>'License BOM'!C9</f>
        <v>CA-TNT-0001</v>
      </c>
      <c r="C45" s="25" t="str">
        <f>'License BOM'!D9</f>
        <v>Additional Tenant</v>
      </c>
      <c r="E45" s="29">
        <f>'License BOM'!E9</f>
        <v>0</v>
      </c>
    </row>
    <row r="46" spans="2:6" x14ac:dyDescent="0.3">
      <c r="B46" s="25" t="str">
        <f>'License BOM'!C10</f>
        <v>CA-API-0001</v>
      </c>
      <c r="C46" s="25" t="str">
        <f>'License BOM'!D10</f>
        <v>API Access</v>
      </c>
      <c r="E46" s="29">
        <f>'License BOM'!E10</f>
        <v>0</v>
      </c>
    </row>
    <row r="47" spans="2:6" x14ac:dyDescent="0.3">
      <c r="B47" s="25" t="str">
        <f>'License BOM'!C11</f>
        <v>—</v>
      </c>
      <c r="C47" s="25" t="str">
        <f>'License BOM'!D11</f>
        <v>(not selected)</v>
      </c>
      <c r="E47" s="29">
        <f>'License BOM'!E11</f>
        <v>0</v>
      </c>
    </row>
    <row r="49" spans="2:3" x14ac:dyDescent="0.3">
      <c r="B49" s="19" t="s">
        <v>219</v>
      </c>
      <c r="C49" s="25" t="str">
        <f>'Customer Input'!D7</f>
        <v/>
      </c>
    </row>
    <row r="50" spans="2:3" x14ac:dyDescent="0.3">
      <c r="B50" s="30" t="s">
        <v>220</v>
      </c>
    </row>
    <row r="52" spans="2:3" x14ac:dyDescent="0.3">
      <c r="B52" s="31" t="s">
        <v>221</v>
      </c>
    </row>
  </sheetData>
  <sheetProtection algorithmName="SHA-512" hashValue="PG40qbB5a2OOeCOncouUvuP+bLcRHDgqIPh8svRTN0H4JP8PXarmgQHzyeiQAbqlOJ589MUGT3jbqsQJJXL0zQ==" saltValue="4nUDdE+8kA3Uf+akyJLY+A==" spinCount="100000" sheet="1"/>
  <mergeCells count="1">
    <mergeCell ref="B2:F2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Customer Input</vt:lpstr>
      <vt:lpstr>Sizing Results</vt:lpstr>
      <vt:lpstr>License BOM</vt:lpstr>
      <vt:lpstr>Proposal Summary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2026-03-18T21:56:05Z</dcterms:created>
  <dcterms:modified xsi:type="dcterms:W3CDTF">2026-03-18T22:03:44Z</dcterms:modified>
  <cp:category/>
</cp:coreProperties>
</file>