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Instructions" sheetId="1" r:id="rId1"/>
    <sheet name="Reference Data" sheetId="2" state="hidden" r:id="rId2"/>
    <sheet name="Customer Input" sheetId="3" r:id="rId3"/>
    <sheet name="Sizing Results" sheetId="4" r:id="rId4"/>
    <sheet name="Proposal Summary" sheetId="5" r:id="rId5"/>
  </sheets>
  <definedNames>
    <definedName name="VendorList">Instructions!$G$2:$RDG$6</definedName>
    <definedName name="YesNoList">Instructions!$K$2:$RDK$3</definedName>
    <definedName name="PbxCatalog">Instructions!$E$2:$RDA$16</definedName>
    <definedName name="PbxModelList">Instructions!$A$2:$RDA$16</definedName>
    <definedName name="NumberOfTenants">'Customer Input'!$D$13</definedName>
    <definedName name="CdrRetentionMonths">'Customer Input'!$D$39</definedName>
    <definedName name="ReportRetentionMonths">'Customer Input'!$D$40</definedName>
    <definedName name="BackupCopies">'Customer Input'!$D$42</definedName>
    <definedName name="WorkingDaysPerMonth">'Customer Input'!$D$66</definedName>
    <definedName name="AvgCallRecordBytes">'Customer Input'!$D$67</definedName>
    <definedName name="AvgReportFileKb">'Customer Input'!$D$68</definedName>
    <definedName name="ReportsPerSiteMonth">'Customer Input'!$D$69</definedName>
    <definedName name="DbOverheadFactor">'Customer Input'!$D$70</definedName>
    <definedName name="OsAppInstallGb">'Customer Input'!$D$71</definedName>
    <definedName name="DbBaseGb">'Customer Input'!$D$72</definedName>
    <definedName name="CallsPerExtDefault">'Customer Input'!$D$73</definedName>
    <definedName name="CxRealTime">'Customer Input'!$D$47</definedName>
    <definedName name="CxSupervisors">'Customer Input'!$D$48</definedName>
    <definedName name="PhoneSeats">'Customer Input'!$D$52</definedName>
    <definedName name="NotifierSeats">'Customer Input'!$D$53</definedName>
    <definedName name="SipVoiceSeats">'Customer Input'!$D$54</definedName>
    <definedName name="SnmpEnabled">'Customer Input'!$D$58</definedName>
    <definedName name="SiteRows">'Customer Input'!$B$16:$I$35</definedName>
    <definedName name="ExtRange">'Customer Input'!$G$16:$G$35</definedName>
    <definedName name="PbxRange">'Customer Input'!$F$16:$F$35</definedName>
    <definedName name="CallsPerExtRange">'Customer Input'!$H$16:$H$35</definedName>
    <definedName name="RecommendedTier">'Sizing Results'!$C$35</definedName>
    <definedName name="BaselineVCpu">'Sizing Results'!$C$36</definedName>
    <definedName name="BaselineRam">'Sizing Results'!$C$37</definedName>
    <definedName name="BaselineDisk">'Sizing Results'!$C$38</definedName>
    <definedName name="AdditiveVCpu">'Sizing Results'!$D$48</definedName>
    <definedName name="AdditiveRam">'Sizing Results'!$D$49</definedName>
    <definedName name="AdditiveDisk">'Sizing Results'!$D$50</definedName>
    <definedName name="TotalExtensions">'Sizing Results'!$C$5</definedName>
    <definedName name="TotalPbxSystems">'Sizing Results'!$C$6</definedName>
    <definedName name="ActiveSites">'Sizing Results'!$C$7</definedName>
    <definedName name="TotalCallsDay">'Sizing Results'!$C$8</definedName>
    <definedName name="TotalCallsMonth">'Sizing Results'!$C$9</definedName>
    <definedName name="TotalCallsYear">'Sizing Results'!$C$10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<sst xmlns="http://schemas.openxmlformats.org/spreadsheetml/2006/main" count="234" uniqueCount="195">
  <si>
    <t>Enterprise Voice Operations &amp; Analytics (EVOA)</t>
  </si>
  <si>
    <t>Capacity Planning Calculator  —  v1.11.0  —  MeeraApps Technology</t>
  </si>
  <si>
    <t>How to Use This Calculator</t>
  </si>
  <si>
    <t>1. Go to the "Customer Input" sheet and complete the customer information section.</t>
  </si>
  <si>
    <t>2. Enter site details: PBX vendor, model, number of PBX systems, extension count, and calls per extension per day.</t>
  </si>
  <si>
    <t>3. Select the module inputs: Mitel CX Real-Time, Phone Display seats, Desktop Notifier seats, SIP Voice Notification extensions, SNMP Emergency Alerts.</t>
  </si>
  <si>
    <t>4. Choose the CDR retention period and backup policy.</t>
  </si>
  <si>
    <t>5. Review the auto-calculated sizing on the "Sizing Results" sheet.</t>
  </si>
  <si>
    <t>7. Print or PDF the "Proposal Summary" sheet for the customer proposal.</t>
  </si>
  <si>
    <t>Color Legend</t>
  </si>
  <si>
    <t xml:space="preserve">  Blue cells = Input (editable by you)</t>
  </si>
  <si>
    <t xml:space="preserve">  Grey cells = Calculated (do not edit)</t>
  </si>
  <si>
    <t xml:space="preserve">  Green highlight = Recommended / Selected result</t>
  </si>
  <si>
    <t xml:space="preserve">  Amber highlight = Warning or attention required</t>
  </si>
  <si>
    <t>Notes</t>
  </si>
  <si>
    <t>•  Storage calculations include PostgreSQL / SQL Server database, indexes, reports, and configurable backup retention.</t>
  </si>
  <si>
    <t>•  Server tier recommendations follow the Installation Guide's baseline + additive model. The baseline is Call Accounting only; each licensed module adds resource on top.</t>
  </si>
  <si>
    <t>•  For Large / Enterprise tiers (10,000+ extensions), consider splitting the database onto a dedicated host.</t>
  </si>
  <si>
    <t>•  Modules with Yes/No inputs contribute their additive resources ONLY when set to Yes.</t>
  </si>
  <si>
    <t>•  Phone Display and Desktop Notifier load scales with device count (60-second phone heartbeats, one SignalR connection per station), not extension count directly.</t>
  </si>
  <si>
    <t>•  SIP Voice Notification scales with CONCURRENT CALLS, not with the number of scenarios or contacts. Each active callout is one RTP stream encoded in real time, so size the pool by how many calls must be placed at the same time.</t>
  </si>
  <si>
    <t>Supported PBX Systems (14 platforms, 4 vendors)</t>
  </si>
  <si>
    <t xml:space="preserve">   Mitel: MiVoice Business, MX-ONE, OpenScape 4000/Voice/Business, MiVoice Office 400</t>
  </si>
  <si>
    <t xml:space="preserve">   Avaya: Aura Communication Manager, IP Office</t>
  </si>
  <si>
    <t xml:space="preserve">   Cisco: Unified Communications Manager, CME / CUBE</t>
  </si>
  <si>
    <t xml:space="preserve">   Alcatel-Lucent: OmniPCX Enterprise, OmniPCX Office, OpenTouch, 4400</t>
  </si>
  <si>
    <t>Real-Time Integrations (v1.4.0+)</t>
  </si>
  <si>
    <t xml:space="preserve">   Mitel CX (SignalR) — v1.4.0+</t>
  </si>
  <si>
    <t xml:space="preserve">   Mitel Emergency Response (SNMP, UDP 162) — v1.9.0+</t>
  </si>
  <si>
    <t>Contact: sales@meeraapps.com  ·  www.meeraapps.com  ·  +966 573516885</t>
  </si>
  <si>
    <t>PBX Model</t>
  </si>
  <si>
    <t>Vendor</t>
  </si>
  <si>
    <t>RecordSize</t>
  </si>
  <si>
    <t>Mode</t>
  </si>
  <si>
    <t>Port</t>
  </si>
  <si>
    <t>Vendors</t>
  </si>
  <si>
    <t>YesNo</t>
  </si>
  <si>
    <t>MiVoice Business</t>
  </si>
  <si>
    <t>Mitel</t>
  </si>
  <si>
    <t>TCP Pull</t>
  </si>
  <si>
    <t>PostgreSQL</t>
  </si>
  <si>
    <t>Yes</t>
  </si>
  <si>
    <t>MX-ONE</t>
  </si>
  <si>
    <t>TCP Push/Pull</t>
  </si>
  <si>
    <t>Avaya</t>
  </si>
  <si>
    <t>No</t>
  </si>
  <si>
    <t>OpenScape 4000</t>
  </si>
  <si>
    <t>Cisco</t>
  </si>
  <si>
    <t>OpenScape Voice</t>
  </si>
  <si>
    <t>SFTP</t>
  </si>
  <si>
    <t>Alcatel</t>
  </si>
  <si>
    <t>OpenScape Business</t>
  </si>
  <si>
    <t>TCP Push</t>
  </si>
  <si>
    <t>Other</t>
  </si>
  <si>
    <t>MiVoice Office 400</t>
  </si>
  <si>
    <t>Aura CM</t>
  </si>
  <si>
    <t>IP Office</t>
  </si>
  <si>
    <t>CUCM</t>
  </si>
  <si>
    <t>CME/CUBE</t>
  </si>
  <si>
    <t>OXE</t>
  </si>
  <si>
    <t>OXO</t>
  </si>
  <si>
    <t>OpenTouch</t>
  </si>
  <si>
    <t>4400</t>
  </si>
  <si>
    <t>Generic</t>
  </si>
  <si>
    <t>Capacity Planning — Customer Input</t>
  </si>
  <si>
    <t>Blue cells are for you to fill in.</t>
  </si>
  <si>
    <t>A.  Customer Information</t>
  </si>
  <si>
    <t>Customer Name</t>
  </si>
  <si>
    <t>Project Name</t>
  </si>
  <si>
    <t>Partner Name</t>
  </si>
  <si>
    <t>Country / Region</t>
  </si>
  <si>
    <t>Date</t>
  </si>
  <si>
    <t>B.  Site Topology</t>
  </si>
  <si>
    <t>Number of Tenants</t>
  </si>
  <si>
    <t>#</t>
  </si>
  <si>
    <t>Site Name</t>
  </si>
  <si>
    <t>PBX Vendor</t>
  </si>
  <si>
    <t># PBX</t>
  </si>
  <si>
    <t># Extensions</t>
  </si>
  <si>
    <t>Calls/Ext/Day</t>
  </si>
  <si>
    <t>C.  Retention &amp; Backup Policy</t>
  </si>
  <si>
    <t>CDR Retention Period (months)</t>
  </si>
  <si>
    <t>Report Retention (months)</t>
  </si>
  <si>
    <t>Backup Frequency</t>
  </si>
  <si>
    <t>Daily</t>
  </si>
  <si>
    <t>Backup Copies Retained</t>
  </si>
  <si>
    <t>Backup Destination</t>
  </si>
  <si>
    <t>Local</t>
  </si>
  <si>
    <t>D.  Real-Time Integrations</t>
  </si>
  <si>
    <t>Mitel CX Real-Time (SignalR)</t>
  </si>
  <si>
    <t>Concurrent Supervisor Sessions</t>
  </si>
  <si>
    <t>E.  Endpoint Licenses</t>
  </si>
  <si>
    <t>Phone Display seats (Mitel 6900 count)</t>
  </si>
  <si>
    <t>Desktop Notifier seats (Windows PC count)</t>
  </si>
  <si>
    <t>SIP Voice Notification extensions (simultaneous calls)</t>
  </si>
  <si>
    <t>F.  Emergency Alerts (SNMP)</t>
  </si>
  <si>
    <t>SNMP Trap Receiver / Emergency Alerts</t>
  </si>
  <si>
    <t>Recipient Groups (typical)</t>
  </si>
  <si>
    <t>H.  Optional Features</t>
  </si>
  <si>
    <t>I.  Working Assumptions</t>
  </si>
  <si>
    <t>Working Days per Month</t>
  </si>
  <si>
    <t>Avg Call Record Size (bytes)</t>
  </si>
  <si>
    <t>Avg Report File Size (KB)</t>
  </si>
  <si>
    <t>Reports per Site per Month</t>
  </si>
  <si>
    <t>Database Overhead Factor</t>
  </si>
  <si>
    <t>OS + App Install (GB)</t>
  </si>
  <si>
    <t>PostgreSQL / SQL Base (GB)</t>
  </si>
  <si>
    <t>CDR calls per extension per day (used only if per-site column blank)</t>
  </si>
  <si>
    <t>Sizing Results</t>
  </si>
  <si>
    <t>Auto-calculated from Customer Input.</t>
  </si>
  <si>
    <t>A.  Call Volume Summary</t>
  </si>
  <si>
    <t>Total Extensions</t>
  </si>
  <si>
    <t>Total PBX Systems</t>
  </si>
  <si>
    <t>Active Sites</t>
  </si>
  <si>
    <t>Total Calls/Day</t>
  </si>
  <si>
    <t>Total Calls/Month</t>
  </si>
  <si>
    <t>Total Calls/Year</t>
  </si>
  <si>
    <t>B.  Database Storage (at selected retention)</t>
  </si>
  <si>
    <t>Retention</t>
  </si>
  <si>
    <t>CDR Records</t>
  </si>
  <si>
    <t>DB Size (GB)</t>
  </si>
  <si>
    <t>+ Reports (GB)</t>
  </si>
  <si>
    <t>+ Backups (GB)</t>
  </si>
  <si>
    <t>Total Disk (GB)</t>
  </si>
  <si>
    <t>6 months</t>
  </si>
  <si>
    <t>1 year</t>
  </si>
  <si>
    <t>18 months</t>
  </si>
  <si>
    <t>2 years</t>
  </si>
  <si>
    <t>3 years</t>
  </si>
  <si>
    <t>4 years</t>
  </si>
  <si>
    <t>5 years</t>
  </si>
  <si>
    <t>7 years</t>
  </si>
  <si>
    <t>10 years</t>
  </si>
  <si>
    <t>C.  Server Sizing — Baseline (Call Accounting only)</t>
  </si>
  <si>
    <t>Baseline tier is chosen from Total Extensions. Additive modules add on top (Section D).</t>
  </si>
  <si>
    <t>Tier</t>
  </si>
  <si>
    <t>Extensions</t>
  </si>
  <si>
    <t>vCPU</t>
  </si>
  <si>
    <t>RAM (GB)</t>
  </si>
  <si>
    <t>Disk (GB)</t>
  </si>
  <si>
    <t>Recommended?</t>
  </si>
  <si>
    <t>Small</t>
  </si>
  <si>
    <t>Up to 500</t>
  </si>
  <si>
    <t>Medium</t>
  </si>
  <si>
    <t>500 - 2,500</t>
  </si>
  <si>
    <t>Large</t>
  </si>
  <si>
    <t>2,500 - 10,000</t>
  </si>
  <si>
    <t>Enterprise</t>
  </si>
  <si>
    <t>10,000+</t>
  </si>
  <si>
    <t>Recommended Baseline Tier</t>
  </si>
  <si>
    <t>Baseline vCPU</t>
  </si>
  <si>
    <t>Baseline RAM (GB)</t>
  </si>
  <si>
    <t>Baseline Disk (GB)</t>
  </si>
  <si>
    <t>D.  Additive Resources per Licensed Module</t>
  </si>
  <si>
    <t>Module</t>
  </si>
  <si>
    <t>Enabled?</t>
  </si>
  <si>
    <t>+ vCPU</t>
  </si>
  <si>
    <t>+ RAM (GB)</t>
  </si>
  <si>
    <t>+ Disk (GB)</t>
  </si>
  <si>
    <t>Mitel CX Real-Time</t>
  </si>
  <si>
    <t>Phone Display + Desktop Notifier</t>
  </si>
  <si>
    <t>Emergency Alerts (SNMP + Email)</t>
  </si>
  <si>
    <t>SIP Voice Notification</t>
  </si>
  <si>
    <t>Total Additive vCPU</t>
  </si>
  <si>
    <t>Total Additive RAM (GB)</t>
  </si>
  <si>
    <t>Total Additive Disk (GB)</t>
  </si>
  <si>
    <t>E.  Recommended Server Sizing (Baseline + Modules)</t>
  </si>
  <si>
    <t>Recommended Tier</t>
  </si>
  <si>
    <t>Total vCPU</t>
  </si>
  <si>
    <t>Total RAM (GB)</t>
  </si>
  <si>
    <t>Total Disk (GB, indicative)</t>
  </si>
  <si>
    <t>Total Disk @ selected retention (GB)</t>
  </si>
  <si>
    <t>Operating System</t>
  </si>
  <si>
    <t>Database Engine</t>
  </si>
  <si>
    <t>Capacity Planning &amp; Sizing Report</t>
  </si>
  <si>
    <t>Enterprise Voice Operations &amp; Analytics (EVOA) v1.11.0</t>
  </si>
  <si>
    <t>Customer Details</t>
  </si>
  <si>
    <t>Customer</t>
  </si>
  <si>
    <t>Project</t>
  </si>
  <si>
    <t>Partner</t>
  </si>
  <si>
    <t>Country</t>
  </si>
  <si>
    <t>Deployment Summary</t>
  </si>
  <si>
    <t>Sites</t>
  </si>
  <si>
    <t>PBX Systems</t>
  </si>
  <si>
    <t>Tenants</t>
  </si>
  <si>
    <t>Calls/Day</t>
  </si>
  <si>
    <t>Calls/Year</t>
  </si>
  <si>
    <t>Modules</t>
  </si>
  <si>
    <t>Phone Display seats</t>
  </si>
  <si>
    <t>Desktop Notifier seats</t>
  </si>
  <si>
    <t>SNMP / Emergency Alerts</t>
  </si>
  <si>
    <t>SIP Voice Notification extensions</t>
  </si>
  <si>
    <t>Server Recommendation</t>
  </si>
  <si>
    <t>Server sizing estimate — recalculate if the customer's extension count or enabled modules change.</t>
  </si>
  <si>
    <t>MeeraApps Technology  ·  www.meeraapps.com  ·  sales@meeraapps.com  ·  +966 573516885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</si>
</sst>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2" formatCode="_-&quot;£&quot;* #,##0_-;\-&quot;£&quot;* #,##0_-;_-&quot;£&quot;* &quot;-&quot;_-;_-@_-"/>
    <numFmt numFmtId="43" formatCode="_-* #,##0.00_-;\-* #,##0.00_-;_-* &quot;-&quot;??_-;_-@_-"/>
    <numFmt numFmtId="44" formatCode="_-&quot;£&quot;* #,##0.00_-;\-&quot;£&quot;* #,##0.00_-;_-&quot;£&quot;* &quot;-&quot;??_-;_-@_-"/>
    <numFmt numFmtId="176" formatCode="#,##0.0"/>
    <numFmt numFmtId="177" formatCode="yyyy\-mm\-dd"/>
  </numFmts>
  <fonts count="31">
    <font>
      <sz val="11"/>
      <color theme="1"/>
      <name val="Calibri"/>
      <charset val="134"/>
      <scheme val="minor"/>
    </font>
    <font>
      <b/>
      <sz val="18"/>
      <color rgb="FFFFFFFF"/>
      <name val="Calibri"/>
      <charset val="134"/>
    </font>
    <font>
      <i/>
      <sz val="11"/>
      <color rgb="FFF5F7FA"/>
      <name val="Calibri"/>
      <charset val="134"/>
    </font>
    <font>
      <b/>
      <sz val="12"/>
      <color rgb="FFFFFFFF"/>
      <name val="Calibri"/>
      <charset val="134"/>
    </font>
    <font>
      <sz val="10"/>
      <color rgb="FF1A1A2E"/>
      <name val="Calibri"/>
      <charset val="134"/>
    </font>
    <font>
      <i/>
      <sz val="10"/>
      <color rgb="FF1A1A2E"/>
      <name val="Calibri"/>
      <charset val="134"/>
    </font>
    <font>
      <b/>
      <sz val="11"/>
      <color rgb="FF0D2B4A"/>
      <name val="Calibri"/>
      <charset val="134"/>
    </font>
    <font>
      <i/>
      <sz val="10"/>
      <color rgb="FF64748B"/>
      <name val="Calibri"/>
      <charset val="134"/>
    </font>
    <font>
      <b/>
      <sz val="10"/>
      <color rgb="FFFFFFFF"/>
      <name val="Calibri"/>
      <charset val="134"/>
    </font>
    <font>
      <b/>
      <sz val="10"/>
      <color rgb="FF0D2B4A"/>
      <name val="Calibri"/>
      <charset val="134"/>
    </font>
    <font>
      <b/>
      <sz val="12"/>
      <color rgb="FF0D2B4A"/>
      <name val="Calibri"/>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9">
    <fill>
      <patternFill patternType="none"/>
    </fill>
    <fill>
      <patternFill patternType="gray125"/>
    </fill>
    <fill>
      <patternFill patternType="solid">
        <fgColor rgb="FF0D2B4A"/>
        <bgColor indexed="64"/>
      </patternFill>
    </fill>
    <fill>
      <patternFill patternType="solid">
        <fgColor rgb="FF1E88E5"/>
        <bgColor indexed="64"/>
      </patternFill>
    </fill>
    <fill>
      <patternFill patternType="solid">
        <fgColor rgb="FFEEF2F6"/>
        <bgColor indexed="64"/>
      </patternFill>
    </fill>
    <fill>
      <patternFill patternType="solid">
        <fgColor rgb="FFDCFCE7"/>
        <bgColor indexed="64"/>
      </patternFill>
    </fill>
    <fill>
      <patternFill patternType="solid">
        <fgColor rgb="FFDBEAFE"/>
        <bgColor indexed="64"/>
      </patternFill>
    </fill>
    <fill>
      <patternFill patternType="solid">
        <fgColor rgb="FFFEF3C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D2B4A"/>
      </left>
      <right style="thin">
        <color rgb="FF0D2B4A"/>
      </right>
      <top style="thin">
        <color rgb="FF0D2B4A"/>
      </top>
      <bottom style="thin">
        <color rgb="FF0D2B4A"/>
      </bottom>
      <diagonal/>
    </border>
    <border>
      <left style="thin">
        <color rgb="FF1E88E5"/>
      </left>
      <right style="thin">
        <color rgb="FF1E88E5"/>
      </right>
      <top style="thin">
        <color rgb="FF1E88E5"/>
      </top>
      <bottom style="thin">
        <color rgb="FF1E88E5"/>
      </bottom>
      <diagonal/>
    </border>
    <border>
      <left style="thin">
        <color rgb="FF64748B"/>
      </left>
      <right style="thin">
        <color rgb="FF64748B"/>
      </right>
      <top style="thin">
        <color rgb="FF64748B"/>
      </top>
      <bottom style="thin">
        <color rgb="FF64748B"/>
      </bottom>
      <diagonal/>
    </border>
    <border>
      <left style="thin">
        <color rgb="FF43A047"/>
      </left>
      <right style="thin">
        <color rgb="FF43A047"/>
      </right>
      <top style="thin">
        <color rgb="FF43A047"/>
      </top>
      <bottom style="thin">
        <color rgb="FF43A047"/>
      </bottom>
      <diagonal/>
    </border>
    <border>
      <left style="thin">
        <color rgb="FFF59E0B"/>
      </left>
      <right style="thin">
        <color rgb="FFF59E0B"/>
      </right>
      <top style="thin">
        <color rgb="FFF59E0B"/>
      </top>
      <bottom style="thin">
        <color rgb="FFF59E0B"/>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9" borderId="9" applyNumberFormat="0" applyAlignment="0" applyProtection="0">
      <alignment vertical="center"/>
    </xf>
    <xf numFmtId="0" fontId="21" fillId="10" borderId="10" applyNumberFormat="0" applyAlignment="0" applyProtection="0">
      <alignment vertical="center"/>
    </xf>
    <xf numFmtId="0" fontId="22" fillId="10" borderId="9" applyNumberFormat="0" applyAlignment="0" applyProtection="0">
      <alignment vertical="center"/>
    </xf>
    <xf numFmtId="0" fontId="23" fillId="11"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26">
    <xf numFmtId="0" fontId="0" fillId="0" borderId="0" xfId="0"/>
    <xf numFmtId="0" fontId="1" fillId="2" borderId="1" xfId="0" applyFont="1" applyFill="1" applyBorder="1" applyAlignment="1">
      <alignment horizontal="left" vertical="center" indent="1"/>
    </xf>
    <xf numFmtId="0" fontId="2" fillId="2" borderId="1" xfId="0" applyFont="1" applyFill="1" applyBorder="1" applyAlignment="1">
      <alignment horizontal="left" vertical="center" indent="1"/>
    </xf>
    <xf numFmtId="0" fontId="3" fillId="3" borderId="2" xfId="0" applyFont="1" applyFill="1" applyBorder="1" applyAlignment="1">
      <alignment horizontal="left" vertical="center" indent="1"/>
    </xf>
    <xf numFmtId="0" fontId="4" fillId="0" borderId="3" xfId="0" applyFont="1" applyBorder="1" applyAlignment="1">
      <alignment horizontal="left" vertical="center" indent="1"/>
    </xf>
    <xf numFmtId="0" fontId="5" fillId="4" borderId="3" xfId="0" applyFont="1" applyFill="1" applyBorder="1" applyAlignment="1">
      <alignment horizontal="left" vertical="center" indent="1"/>
    </xf>
    <xf numFmtId="3" fontId="5" fillId="4" borderId="3" xfId="0" applyNumberFormat="1" applyFont="1" applyFill="1" applyBorder="1" applyAlignment="1">
      <alignment horizontal="right" vertical="center" indent="1"/>
    </xf>
    <xf numFmtId="0" fontId="6" fillId="5" borderId="4" xfId="0" applyFont="1" applyFill="1" applyBorder="1" applyAlignment="1">
      <alignment horizontal="left" vertical="center" indent="1"/>
    </xf>
    <xf numFmtId="0" fontId="7" fillId="0" borderId="0" xfId="0" applyFont="1"/>
    <xf numFmtId="0" fontId="8" fillId="2" borderId="1" xfId="0" applyFont="1" applyFill="1" applyBorder="1" applyAlignment="1">
      <alignment horizontal="center" vertical="center"/>
    </xf>
    <xf numFmtId="4" fontId="5" fillId="4" borderId="3" xfId="0" applyNumberFormat="1" applyFont="1" applyFill="1" applyBorder="1" applyAlignment="1">
      <alignment horizontal="right" vertical="center" indent="1"/>
    </xf>
    <xf numFmtId="0" fontId="4" fillId="0" borderId="0" xfId="0" applyFont="1" applyAlignment="1">
      <alignment horizontal="left" vertical="top" wrapText="1" indent="1"/>
    </xf>
    <xf numFmtId="3" fontId="6" fillId="5" borderId="4" xfId="0" applyNumberFormat="1" applyFont="1" applyFill="1" applyBorder="1" applyAlignment="1">
      <alignment horizontal="left" vertical="center" indent="1"/>
    </xf>
    <xf numFmtId="176" fontId="6" fillId="5" borderId="4" xfId="0" applyNumberFormat="1" applyFont="1" applyFill="1" applyBorder="1" applyAlignment="1">
      <alignment horizontal="left" vertical="center" indent="1"/>
    </xf>
    <xf numFmtId="0" fontId="0" fillId="0" borderId="0" xfId="0" applyAlignment="1">
      <alignment horizontal="left"/>
    </xf>
    <xf numFmtId="0" fontId="9" fillId="6" borderId="2" xfId="0" applyFont="1" applyFill="1" applyBorder="1" applyAlignment="1">
      <alignment horizontal="left" vertical="center" indent="1"/>
    </xf>
    <xf numFmtId="177" fontId="9" fillId="6" borderId="2" xfId="0" applyNumberFormat="1" applyFont="1" applyFill="1" applyBorder="1" applyAlignment="1">
      <alignment horizontal="left" vertical="center" indent="1"/>
    </xf>
    <xf numFmtId="3" fontId="9" fillId="6" borderId="2" xfId="0" applyNumberFormat="1" applyFont="1" applyFill="1" applyBorder="1" applyAlignment="1">
      <alignment horizontal="left" vertical="center" indent="1"/>
    </xf>
    <xf numFmtId="0" fontId="8" fillId="2" borderId="1" xfId="0" applyFont="1" applyFill="1" applyBorder="1" applyAlignment="1">
      <alignment horizontal="left" vertical="center"/>
    </xf>
    <xf numFmtId="0" fontId="8" fillId="2" borderId="0" xfId="0" applyFont="1" applyFill="1"/>
    <xf numFmtId="0" fontId="8" fillId="2" borderId="0" xfId="0" applyFont="1" applyFill="1" applyAlignment="1">
      <alignment horizontal="center" vertical="center"/>
    </xf>
    <xf numFmtId="0" fontId="10" fillId="0" borderId="0" xfId="0" applyFont="1"/>
    <xf numFmtId="0" fontId="4" fillId="6" borderId="2" xfId="0" applyFont="1" applyFill="1" applyBorder="1" applyAlignment="1">
      <alignment horizontal="left" vertical="center" indent="1"/>
    </xf>
    <xf numFmtId="0" fontId="4" fillId="4" borderId="3" xfId="0" applyFont="1" applyFill="1" applyBorder="1" applyAlignment="1">
      <alignment horizontal="left" vertical="center" indent="1"/>
    </xf>
    <xf numFmtId="0" fontId="4" fillId="5" borderId="4" xfId="0" applyFont="1" applyFill="1" applyBorder="1" applyAlignment="1">
      <alignment horizontal="left" vertical="center" indent="1"/>
    </xf>
    <xf numFmtId="0" fontId="4" fillId="7" borderId="5" xfId="0" applyFont="1" applyFill="1" applyBorder="1" applyAlignment="1">
      <alignment horizontal="left" vertical="center" inden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D2B4A"/>
  </sheetPr>
  <dimension ref="B2:I48"/>
  <sheetViews>
    <sheetView tabSelected="1" workbookViewId="0">
      <selection activeCell="A1" sqref="A1"/>
    </sheetView>
  </sheetViews>
  <sheetFormatPr defaultColWidth="9" defaultRowHeight="14.4"/>
  <cols>
    <col min="1" max="1" width="3" customWidth="1"/>
    <col min="2" max="2" width="100" customWidth="1"/>
  </cols>
  <sheetData>
    <row r="2" ht="28" customHeight="1" spans="2:9">
      <c r="B2" s="1" t="s">
        <v>0</v>
      </c>
      <c r="C2" s="1"/>
      <c r="D2" s="1"/>
      <c r="E2" s="1"/>
      <c r="F2" s="1"/>
      <c r="G2" s="1"/>
      <c r="H2" s="1"/>
      <c r="I2" s="1"/>
    </row>
    <row r="3" ht="20" customHeight="1" spans="2:9">
      <c r="B3" s="2" t="s">
        <v>1</v>
      </c>
      <c r="C3" s="2"/>
      <c r="D3" s="2"/>
      <c r="E3" s="2"/>
      <c r="F3" s="2"/>
      <c r="G3" s="2"/>
      <c r="H3" s="2"/>
      <c r="I3" s="2"/>
    </row>
    <row r="6" ht="15.6" spans="2:2">
      <c r="B6" s="21" t="s">
        <v>2</v>
      </c>
    </row>
    <row r="8" spans="2:2">
      <c r="B8" t="s">
        <v>3</v>
      </c>
    </row>
    <row r="9" spans="2:2">
      <c r="B9" t="s">
        <v>4</v>
      </c>
    </row>
    <row r="10" spans="2:2">
      <c r="B10" t="s">
        <v>5</v>
      </c>
    </row>
    <row r="11" spans="2:2">
      <c r="B11" t="s">
        <v>6</v>
      </c>
    </row>
    <row r="12" spans="2:2">
      <c r="B12" t="s">
        <v>7</v>
      </c>
    </row>
    <row r="13" spans="2:2">
      <c r="B13" t="s">
        <v>8</v>
      </c>
    </row>
    <row r="16" ht="15.6" spans="2:2">
      <c r="B16" s="21" t="s">
        <v>9</v>
      </c>
    </row>
    <row r="18" spans="2:2">
      <c r="B18" s="22" t="s">
        <v>10</v>
      </c>
    </row>
    <row r="19" spans="2:2">
      <c r="B19" s="23" t="s">
        <v>11</v>
      </c>
    </row>
    <row r="20" spans="2:2">
      <c r="B20" s="24" t="s">
        <v>12</v>
      </c>
    </row>
    <row r="21" spans="2:2">
      <c r="B21" s="25" t="s">
        <v>13</v>
      </c>
    </row>
    <row r="24" ht="15.6" spans="2:2">
      <c r="B24" s="21" t="s">
        <v>14</v>
      </c>
    </row>
    <row r="26" spans="2:2">
      <c r="B26" s="11" t="s">
        <v>15</v>
      </c>
    </row>
    <row r="27" ht="27.6" spans="2:2">
      <c r="B27" s="11" t="s">
        <v>16</v>
      </c>
    </row>
    <row r="28" spans="2:2">
      <c r="B28" s="11" t="s">
        <v>17</v>
      </c>
    </row>
    <row r="29" spans="2:2">
      <c r="B29" s="11" t="s">
        <v>18</v>
      </c>
    </row>
    <row r="30" ht="27.6" spans="2:2">
      <c r="B30" s="11" t="s">
        <v>19</v>
      </c>
    </row>
    <row r="31" ht="27.6" spans="2:2">
      <c r="B31" s="11" t="s">
        <v>20</v>
      </c>
    </row>
    <row r="34" ht="15.6" spans="2:2">
      <c r="B34" s="21" t="s">
        <v>21</v>
      </c>
    </row>
    <row r="36" spans="2:2">
      <c r="B36" t="s">
        <v>22</v>
      </c>
    </row>
    <row r="37" spans="2:2">
      <c r="B37" t="s">
        <v>23</v>
      </c>
    </row>
    <row r="38" spans="2:2">
      <c r="B38" t="s">
        <v>24</v>
      </c>
    </row>
    <row r="39" spans="2:2">
      <c r="B39" t="s">
        <v>25</v>
      </c>
    </row>
    <row r="42" ht="15.6" spans="2:2">
      <c r="B42" s="21" t="s">
        <v>26</v>
      </c>
    </row>
    <row r="44" spans="2:2">
      <c r="B44" t="s">
        <v>27</v>
      </c>
    </row>
    <row r="45" spans="2:2">
      <c r="B45" t="s">
        <v>28</v>
      </c>
    </row>
    <row r="48" spans="2:2">
      <c r="B48" s="8" t="s">
        <v>29</v>
      </c>
    </row>
  </sheetData>
  <mergeCells count="2">
    <mergeCell ref="B2:I2"/>
    <mergeCell ref="B3:I3"/>
  </mergeCell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64748B"/>
  </sheetPr>
  <dimension ref="A1:K16"/>
  <sheetViews>
    <sheetView workbookViewId="0">
      <selection activeCell="A1" sqref="A1"/>
    </sheetView>
  </sheetViews>
  <sheetFormatPr defaultColWidth="9" defaultRowHeight="14.4"/>
  <cols>
    <col min="1" max="1" width="24" customWidth="1"/>
    <col min="2" max="3" width="12" customWidth="1"/>
    <col min="4" max="4" width="16" customWidth="1"/>
    <col min="5" max="5" width="10" customWidth="1"/>
    <col min="6" max="6" width="3" customWidth="1"/>
    <col min="7" max="7" width="14" customWidth="1"/>
    <col min="8" max="8" width="3" customWidth="1"/>
    <col min="9" max="9" width="14" customWidth="1"/>
    <col min="10" max="10" width="3" customWidth="1"/>
    <col min="11" max="11" width="8" customWidth="1"/>
    <col min="12" max="12" width="3" customWidth="1"/>
    <col min="13" max="13" width="14" customWidth="1"/>
  </cols>
  <sheetData>
    <row r="1" s="19" customFormat="1" ht="13.8" spans="1:11">
      <c r="A1" s="20" t="s">
        <v>30</v>
      </c>
      <c r="B1" s="20" t="s">
        <v>31</v>
      </c>
      <c r="C1" s="20" t="s">
        <v>32</v>
      </c>
      <c r="D1" s="20" t="s">
        <v>33</v>
      </c>
      <c r="E1" s="20" t="s">
        <v>34</v>
      </c>
      <c r="G1" s="20" t="s">
        <v>35</v>
      </c>
      <c r="K1" s="20" t="s">
        <v>36</v>
      </c>
    </row>
    <row r="2" spans="1:11">
      <c r="A2" t="s">
        <v>37</v>
      </c>
      <c r="B2" t="s">
        <v>38</v>
      </c>
      <c r="C2">
        <v>850</v>
      </c>
      <c r="D2" t="s">
        <v>39</v>
      </c>
      <c r="E2">
        <v>5000</v>
      </c>
      <c r="G2" t="s">
        <v>38</v>
      </c>
      <c r="I2" t="s">
        <v>40</v>
      </c>
      <c r="K2" t="s">
        <v>41</v>
      </c>
    </row>
    <row r="3" spans="1:11">
      <c r="A3" t="s">
        <v>42</v>
      </c>
      <c r="B3" t="s">
        <v>38</v>
      </c>
      <c r="C3">
        <v>600</v>
      </c>
      <c r="D3" t="s">
        <v>43</v>
      </c>
      <c r="E3">
        <v>1080</v>
      </c>
      <c r="G3" t="s">
        <v>44</v>
      </c>
      <c r="K3" t="s">
        <v>45</v>
      </c>
    </row>
    <row r="4" spans="1:7">
      <c r="A4" t="s">
        <v>46</v>
      </c>
      <c r="B4" t="s">
        <v>38</v>
      </c>
      <c r="C4">
        <v>900</v>
      </c>
      <c r="D4" t="s">
        <v>43</v>
      </c>
      <c r="E4">
        <v>1202</v>
      </c>
      <c r="G4" t="s">
        <v>47</v>
      </c>
    </row>
    <row r="5" spans="1:7">
      <c r="A5" t="s">
        <v>48</v>
      </c>
      <c r="B5" t="s">
        <v>38</v>
      </c>
      <c r="C5">
        <v>750</v>
      </c>
      <c r="D5" t="s">
        <v>49</v>
      </c>
      <c r="E5">
        <v>22</v>
      </c>
      <c r="G5" t="s">
        <v>50</v>
      </c>
    </row>
    <row r="6" spans="1:7">
      <c r="A6" t="s">
        <v>51</v>
      </c>
      <c r="B6" t="s">
        <v>38</v>
      </c>
      <c r="C6">
        <v>500</v>
      </c>
      <c r="D6" t="s">
        <v>52</v>
      </c>
      <c r="E6">
        <v>7000</v>
      </c>
      <c r="G6" t="s">
        <v>53</v>
      </c>
    </row>
    <row r="7" spans="1:5">
      <c r="A7" t="s">
        <v>54</v>
      </c>
      <c r="B7" t="s">
        <v>38</v>
      </c>
      <c r="C7">
        <v>450</v>
      </c>
      <c r="D7" t="s">
        <v>52</v>
      </c>
      <c r="E7">
        <v>1080</v>
      </c>
    </row>
    <row r="8" spans="1:5">
      <c r="A8" t="s">
        <v>55</v>
      </c>
      <c r="B8" t="s">
        <v>44</v>
      </c>
      <c r="C8">
        <v>700</v>
      </c>
      <c r="D8" t="s">
        <v>52</v>
      </c>
      <c r="E8">
        <v>5001</v>
      </c>
    </row>
    <row r="9" spans="1:5">
      <c r="A9" t="s">
        <v>56</v>
      </c>
      <c r="B9" t="s">
        <v>44</v>
      </c>
      <c r="C9">
        <v>650</v>
      </c>
      <c r="D9" t="s">
        <v>39</v>
      </c>
      <c r="E9">
        <v>5000</v>
      </c>
    </row>
    <row r="10" spans="1:5">
      <c r="A10" t="s">
        <v>57</v>
      </c>
      <c r="B10" t="s">
        <v>47</v>
      </c>
      <c r="C10">
        <v>1200</v>
      </c>
      <c r="D10" t="s">
        <v>49</v>
      </c>
      <c r="E10">
        <v>22</v>
      </c>
    </row>
    <row r="11" spans="1:5">
      <c r="A11" t="s">
        <v>58</v>
      </c>
      <c r="B11" t="s">
        <v>47</v>
      </c>
      <c r="C11">
        <v>400</v>
      </c>
      <c r="D11" t="s">
        <v>52</v>
      </c>
      <c r="E11">
        <v>514</v>
      </c>
    </row>
    <row r="12" spans="1:5">
      <c r="A12" t="s">
        <v>59</v>
      </c>
      <c r="B12" t="s">
        <v>50</v>
      </c>
      <c r="C12">
        <v>550</v>
      </c>
      <c r="D12" t="s">
        <v>52</v>
      </c>
      <c r="E12">
        <v>2533</v>
      </c>
    </row>
    <row r="13" spans="1:5">
      <c r="A13" t="s">
        <v>60</v>
      </c>
      <c r="B13" t="s">
        <v>50</v>
      </c>
      <c r="C13">
        <v>350</v>
      </c>
      <c r="D13" t="s">
        <v>52</v>
      </c>
      <c r="E13">
        <v>2533</v>
      </c>
    </row>
    <row r="14" spans="1:5">
      <c r="A14" t="s">
        <v>61</v>
      </c>
      <c r="B14" t="s">
        <v>50</v>
      </c>
      <c r="C14">
        <v>550</v>
      </c>
      <c r="D14" t="s">
        <v>52</v>
      </c>
      <c r="E14">
        <v>2533</v>
      </c>
    </row>
    <row r="15" spans="1:5">
      <c r="A15" t="s">
        <v>62</v>
      </c>
      <c r="B15" t="s">
        <v>50</v>
      </c>
      <c r="C15">
        <v>550</v>
      </c>
      <c r="D15" t="s">
        <v>52</v>
      </c>
      <c r="E15">
        <v>2533</v>
      </c>
    </row>
    <row r="16" spans="1:5">
      <c r="A16" t="s">
        <v>63</v>
      </c>
      <c r="B16" t="s">
        <v>53</v>
      </c>
      <c r="C16">
        <v>850</v>
      </c>
      <c r="D16" t="s">
        <v>52</v>
      </c>
      <c r="E16">
        <v>5000</v>
      </c>
    </row>
  </sheetData>
  <pageMargins left="0.7" right="0.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1E88E5"/>
  </sheetPr>
  <dimension ref="B1:I73"/>
  <sheetViews>
    <sheetView showGridLines="0" workbookViewId="0">
      <pane ySplit="2" topLeftCell="A3" activePane="bottomLeft" state="frozen"/>
      <selection/>
      <selection pane="bottomLeft" activeCell="B1" sqref="B1:I1"/>
    </sheetView>
  </sheetViews>
  <sheetFormatPr defaultColWidth="9" defaultRowHeight="14.4"/>
  <cols>
    <col min="1" max="1" width="3" customWidth="1"/>
    <col min="2" max="2" width="4" customWidth="1"/>
    <col min="3" max="3" width="30" customWidth="1"/>
    <col min="4" max="4" width="24" style="14" customWidth="1"/>
    <col min="5" max="5" width="24" customWidth="1"/>
    <col min="6" max="6" width="12" customWidth="1"/>
    <col min="7" max="9" width="14" customWidth="1"/>
  </cols>
  <sheetData>
    <row r="1" ht="28" customHeight="1" spans="2:9">
      <c r="B1" s="1" t="s">
        <v>64</v>
      </c>
      <c r="C1" s="1"/>
      <c r="D1" s="1"/>
      <c r="E1" s="1"/>
      <c r="F1" s="1"/>
      <c r="G1" s="1"/>
      <c r="H1" s="1"/>
      <c r="I1" s="1"/>
    </row>
    <row r="2" ht="20" customHeight="1" spans="2:9">
      <c r="B2" s="2" t="s">
        <v>65</v>
      </c>
      <c r="C2" s="2"/>
      <c r="D2" s="2"/>
      <c r="E2" s="2"/>
      <c r="F2" s="2"/>
      <c r="G2" s="2"/>
      <c r="H2" s="2"/>
      <c r="I2" s="2"/>
    </row>
    <row r="3" ht="22" customHeight="1" spans="2:9">
      <c r="B3" s="3" t="s">
        <v>66</v>
      </c>
      <c r="C3" s="3"/>
      <c r="D3" s="3"/>
      <c r="E3" s="3"/>
      <c r="F3" s="3"/>
      <c r="G3" s="3"/>
      <c r="H3" s="3"/>
      <c r="I3" s="3"/>
    </row>
    <row r="5" spans="3:6">
      <c r="C5" s="4" t="s">
        <v>67</v>
      </c>
      <c r="D5" s="15"/>
      <c r="E5" s="15"/>
      <c r="F5" s="15"/>
    </row>
    <row r="6" spans="3:6">
      <c r="C6" s="4" t="s">
        <v>68</v>
      </c>
      <c r="D6" s="15"/>
      <c r="E6" s="15"/>
      <c r="F6" s="15"/>
    </row>
    <row r="7" spans="3:6">
      <c r="C7" s="4" t="s">
        <v>69</v>
      </c>
      <c r="D7" s="15"/>
      <c r="E7" s="15"/>
      <c r="F7" s="15"/>
    </row>
    <row r="8" spans="3:6">
      <c r="C8" s="4" t="s">
        <v>70</v>
      </c>
      <c r="D8" s="15"/>
      <c r="E8" s="15"/>
      <c r="F8" s="15"/>
    </row>
    <row r="9" spans="3:6">
      <c r="C9" s="4" t="s">
        <v>71</v>
      </c>
      <c r="D9" s="16"/>
      <c r="E9" s="16"/>
      <c r="F9" s="16"/>
    </row>
    <row r="11" ht="22" customHeight="1" spans="2:9">
      <c r="B11" s="3" t="s">
        <v>72</v>
      </c>
      <c r="C11" s="3"/>
      <c r="D11" s="3"/>
      <c r="E11" s="3"/>
      <c r="F11" s="3"/>
      <c r="G11" s="3"/>
      <c r="H11" s="3"/>
      <c r="I11" s="3"/>
    </row>
    <row r="13" spans="3:4">
      <c r="C13" s="4" t="s">
        <v>73</v>
      </c>
      <c r="D13" s="17">
        <v>0</v>
      </c>
    </row>
    <row r="15" spans="2:9">
      <c r="B15" s="9" t="s">
        <v>74</v>
      </c>
      <c r="C15" s="9" t="s">
        <v>75</v>
      </c>
      <c r="D15" s="18" t="s">
        <v>76</v>
      </c>
      <c r="E15" s="9" t="s">
        <v>30</v>
      </c>
      <c r="F15" s="9" t="s">
        <v>77</v>
      </c>
      <c r="G15" s="9" t="s">
        <v>78</v>
      </c>
      <c r="H15" s="9" t="s">
        <v>79</v>
      </c>
      <c r="I15" s="9" t="s">
        <v>33</v>
      </c>
    </row>
    <row r="16" spans="2:9">
      <c r="B16" s="4">
        <v>1</v>
      </c>
      <c r="C16" s="15"/>
      <c r="D16" s="15"/>
      <c r="E16" s="15"/>
      <c r="F16" s="17"/>
      <c r="G16" s="17"/>
      <c r="H16" s="17"/>
      <c r="I16" s="15"/>
    </row>
    <row r="17" spans="2:9">
      <c r="B17" s="4">
        <v>2</v>
      </c>
      <c r="C17" s="15"/>
      <c r="D17" s="15"/>
      <c r="E17" s="15"/>
      <c r="F17" s="17"/>
      <c r="G17" s="17"/>
      <c r="H17" s="17"/>
      <c r="I17" s="15"/>
    </row>
    <row r="18" spans="2:9">
      <c r="B18" s="4">
        <v>3</v>
      </c>
      <c r="C18" s="15"/>
      <c r="D18" s="15"/>
      <c r="E18" s="15"/>
      <c r="F18" s="17"/>
      <c r="G18" s="17"/>
      <c r="H18" s="17"/>
      <c r="I18" s="15"/>
    </row>
    <row r="19" spans="2:9">
      <c r="B19" s="4">
        <v>4</v>
      </c>
      <c r="C19" s="15"/>
      <c r="D19" s="15"/>
      <c r="E19" s="15"/>
      <c r="F19" s="17"/>
      <c r="G19" s="17"/>
      <c r="H19" s="17"/>
      <c r="I19" s="15"/>
    </row>
    <row r="20" spans="2:9">
      <c r="B20" s="4">
        <v>5</v>
      </c>
      <c r="C20" s="15"/>
      <c r="D20" s="15"/>
      <c r="E20" s="15"/>
      <c r="F20" s="17"/>
      <c r="G20" s="17"/>
      <c r="H20" s="17"/>
      <c r="I20" s="15"/>
    </row>
    <row r="21" spans="2:9">
      <c r="B21" s="4">
        <v>6</v>
      </c>
      <c r="C21" s="15"/>
      <c r="D21" s="15"/>
      <c r="E21" s="15"/>
      <c r="F21" s="17"/>
      <c r="G21" s="17"/>
      <c r="H21" s="17"/>
      <c r="I21" s="15"/>
    </row>
    <row r="22" spans="2:9">
      <c r="B22" s="4">
        <v>7</v>
      </c>
      <c r="C22" s="15"/>
      <c r="D22" s="15"/>
      <c r="E22" s="15"/>
      <c r="F22" s="17"/>
      <c r="G22" s="17"/>
      <c r="H22" s="17"/>
      <c r="I22" s="15"/>
    </row>
    <row r="23" spans="2:9">
      <c r="B23" s="4">
        <v>8</v>
      </c>
      <c r="C23" s="15"/>
      <c r="D23" s="15"/>
      <c r="E23" s="15"/>
      <c r="F23" s="17"/>
      <c r="G23" s="17"/>
      <c r="H23" s="17"/>
      <c r="I23" s="15"/>
    </row>
    <row r="24" spans="2:9">
      <c r="B24" s="4">
        <v>9</v>
      </c>
      <c r="C24" s="15"/>
      <c r="D24" s="15"/>
      <c r="E24" s="15"/>
      <c r="F24" s="17"/>
      <c r="G24" s="17"/>
      <c r="H24" s="17"/>
      <c r="I24" s="15"/>
    </row>
    <row r="25" spans="2:9">
      <c r="B25" s="4">
        <v>10</v>
      </c>
      <c r="C25" s="15"/>
      <c r="D25" s="15"/>
      <c r="E25" s="15"/>
      <c r="F25" s="17"/>
      <c r="G25" s="17"/>
      <c r="H25" s="17"/>
      <c r="I25" s="15"/>
    </row>
    <row r="26" spans="2:9">
      <c r="B26" s="4">
        <v>11</v>
      </c>
      <c r="C26" s="15"/>
      <c r="D26" s="15"/>
      <c r="E26" s="15"/>
      <c r="F26" s="17"/>
      <c r="G26" s="17"/>
      <c r="H26" s="17"/>
      <c r="I26" s="15"/>
    </row>
    <row r="27" spans="2:9">
      <c r="B27" s="4">
        <v>12</v>
      </c>
      <c r="C27" s="15"/>
      <c r="D27" s="15"/>
      <c r="E27" s="15"/>
      <c r="F27" s="17"/>
      <c r="G27" s="17"/>
      <c r="H27" s="17"/>
      <c r="I27" s="15"/>
    </row>
    <row r="28" spans="2:9">
      <c r="B28" s="4">
        <v>13</v>
      </c>
      <c r="C28" s="15"/>
      <c r="D28" s="15"/>
      <c r="E28" s="15"/>
      <c r="F28" s="17"/>
      <c r="G28" s="17"/>
      <c r="H28" s="17"/>
      <c r="I28" s="15"/>
    </row>
    <row r="29" spans="2:9">
      <c r="B29" s="4">
        <v>14</v>
      </c>
      <c r="C29" s="15"/>
      <c r="D29" s="15"/>
      <c r="E29" s="15"/>
      <c r="F29" s="17"/>
      <c r="G29" s="17"/>
      <c r="H29" s="17"/>
      <c r="I29" s="15"/>
    </row>
    <row r="30" spans="2:9">
      <c r="B30" s="4">
        <v>15</v>
      </c>
      <c r="C30" s="15"/>
      <c r="D30" s="15"/>
      <c r="E30" s="15"/>
      <c r="F30" s="17"/>
      <c r="G30" s="17"/>
      <c r="H30" s="17"/>
      <c r="I30" s="15"/>
    </row>
    <row r="31" spans="2:9">
      <c r="B31" s="4">
        <v>16</v>
      </c>
      <c r="C31" s="15"/>
      <c r="D31" s="15"/>
      <c r="E31" s="15"/>
      <c r="F31" s="17"/>
      <c r="G31" s="17"/>
      <c r="H31" s="17"/>
      <c r="I31" s="15"/>
    </row>
    <row r="32" spans="2:9">
      <c r="B32" s="4">
        <v>17</v>
      </c>
      <c r="C32" s="15"/>
      <c r="D32" s="15"/>
      <c r="E32" s="15"/>
      <c r="F32" s="17"/>
      <c r="G32" s="17"/>
      <c r="H32" s="17"/>
      <c r="I32" s="15"/>
    </row>
    <row r="33" spans="2:9">
      <c r="B33" s="4">
        <v>18</v>
      </c>
      <c r="C33" s="15"/>
      <c r="D33" s="15"/>
      <c r="E33" s="15"/>
      <c r="F33" s="17"/>
      <c r="G33" s="17"/>
      <c r="H33" s="17"/>
      <c r="I33" s="15"/>
    </row>
    <row r="34" spans="2:9">
      <c r="B34" s="4">
        <v>19</v>
      </c>
      <c r="C34" s="15"/>
      <c r="D34" s="15"/>
      <c r="E34" s="15"/>
      <c r="F34" s="17"/>
      <c r="G34" s="17"/>
      <c r="H34" s="17"/>
      <c r="I34" s="15"/>
    </row>
    <row r="35" spans="2:9">
      <c r="B35" s="4">
        <v>20</v>
      </c>
      <c r="C35" s="15"/>
      <c r="D35" s="15"/>
      <c r="E35" s="15"/>
      <c r="F35" s="17"/>
      <c r="G35" s="17"/>
      <c r="H35" s="17"/>
      <c r="I35" s="15"/>
    </row>
    <row r="37" ht="22" customHeight="1" spans="2:9">
      <c r="B37" s="3" t="s">
        <v>80</v>
      </c>
      <c r="C37" s="3"/>
      <c r="D37" s="3"/>
      <c r="E37" s="3"/>
      <c r="F37" s="3"/>
      <c r="G37" s="3"/>
      <c r="H37" s="3"/>
      <c r="I37" s="3"/>
    </row>
    <row r="39" spans="3:4">
      <c r="C39" s="4" t="s">
        <v>81</v>
      </c>
      <c r="D39" s="17">
        <v>24</v>
      </c>
    </row>
    <row r="40" spans="3:4">
      <c r="C40" s="4" t="s">
        <v>82</v>
      </c>
      <c r="D40" s="17">
        <v>6</v>
      </c>
    </row>
    <row r="41" spans="3:4">
      <c r="C41" s="4" t="s">
        <v>83</v>
      </c>
      <c r="D41" s="15" t="s">
        <v>84</v>
      </c>
    </row>
    <row r="42" spans="3:4">
      <c r="C42" s="4" t="s">
        <v>85</v>
      </c>
      <c r="D42" s="17">
        <v>7</v>
      </c>
    </row>
    <row r="43" spans="3:4">
      <c r="C43" s="4" t="s">
        <v>86</v>
      </c>
      <c r="D43" s="15" t="s">
        <v>87</v>
      </c>
    </row>
    <row r="45" ht="22" customHeight="1" spans="2:9">
      <c r="B45" s="3" t="s">
        <v>88</v>
      </c>
      <c r="C45" s="3"/>
      <c r="D45" s="3"/>
      <c r="E45" s="3"/>
      <c r="F45" s="3"/>
      <c r="G45" s="3"/>
      <c r="H45" s="3"/>
      <c r="I45" s="3"/>
    </row>
    <row r="47" spans="3:4">
      <c r="C47" s="4" t="s">
        <v>89</v>
      </c>
      <c r="D47" s="15" t="s">
        <v>45</v>
      </c>
    </row>
    <row r="48" spans="3:4">
      <c r="C48" s="4" t="s">
        <v>90</v>
      </c>
      <c r="D48" s="17">
        <v>0</v>
      </c>
    </row>
    <row r="50" ht="22" customHeight="1" spans="2:9">
      <c r="B50" s="3" t="s">
        <v>91</v>
      </c>
      <c r="C50" s="3"/>
      <c r="D50" s="3"/>
      <c r="E50" s="3"/>
      <c r="F50" s="3"/>
      <c r="G50" s="3"/>
      <c r="H50" s="3"/>
      <c r="I50" s="3"/>
    </row>
    <row r="52" spans="3:4">
      <c r="C52" s="4" t="s">
        <v>92</v>
      </c>
      <c r="D52" s="17">
        <v>0</v>
      </c>
    </row>
    <row r="53" spans="3:4">
      <c r="C53" s="4" t="s">
        <v>93</v>
      </c>
      <c r="D53" s="17">
        <v>0</v>
      </c>
    </row>
    <row r="54" spans="3:4">
      <c r="C54" s="4" t="s">
        <v>94</v>
      </c>
      <c r="D54" s="17">
        <v>0</v>
      </c>
    </row>
    <row r="56" ht="22" customHeight="1" spans="2:9">
      <c r="B56" s="3" t="s">
        <v>95</v>
      </c>
      <c r="C56" s="3"/>
      <c r="D56" s="3"/>
      <c r="E56" s="3"/>
      <c r="F56" s="3"/>
      <c r="G56" s="3"/>
      <c r="H56" s="3"/>
      <c r="I56" s="3"/>
    </row>
    <row r="58" spans="3:4">
      <c r="C58" s="4" t="s">
        <v>96</v>
      </c>
      <c r="D58" s="15" t="s">
        <v>45</v>
      </c>
    </row>
    <row r="59" spans="3:4">
      <c r="C59" s="4" t="s">
        <v>97</v>
      </c>
      <c r="D59" s="17">
        <v>0</v>
      </c>
    </row>
    <row r="61" ht="22" customHeight="1" spans="2:9">
      <c r="B61" s="3" t="s">
        <v>98</v>
      </c>
      <c r="C61" s="3"/>
      <c r="D61" s="3"/>
      <c r="E61" s="3"/>
      <c r="F61" s="3"/>
      <c r="G61" s="3"/>
      <c r="H61" s="3"/>
      <c r="I61" s="3"/>
    </row>
    <row r="64" ht="22" customHeight="1" spans="2:9">
      <c r="B64" s="3" t="s">
        <v>99</v>
      </c>
      <c r="C64" s="3"/>
      <c r="D64" s="3"/>
      <c r="E64" s="3"/>
      <c r="F64" s="3"/>
      <c r="G64" s="3"/>
      <c r="H64" s="3"/>
      <c r="I64" s="3"/>
    </row>
    <row r="66" spans="3:4">
      <c r="C66" s="4" t="s">
        <v>100</v>
      </c>
      <c r="D66" s="17">
        <v>22</v>
      </c>
    </row>
    <row r="67" spans="3:4">
      <c r="C67" s="4" t="s">
        <v>101</v>
      </c>
      <c r="D67" s="17">
        <v>850</v>
      </c>
    </row>
    <row r="68" spans="3:4">
      <c r="C68" s="4" t="s">
        <v>102</v>
      </c>
      <c r="D68" s="17">
        <v>250</v>
      </c>
    </row>
    <row r="69" spans="3:4">
      <c r="C69" s="4" t="s">
        <v>103</v>
      </c>
      <c r="D69" s="17">
        <v>30</v>
      </c>
    </row>
    <row r="70" spans="3:4">
      <c r="C70" s="4" t="s">
        <v>104</v>
      </c>
      <c r="D70" s="17">
        <v>1.3</v>
      </c>
    </row>
    <row r="71" spans="3:4">
      <c r="C71" s="4" t="s">
        <v>105</v>
      </c>
      <c r="D71" s="17">
        <v>8</v>
      </c>
    </row>
    <row r="72" spans="3:4">
      <c r="C72" s="4" t="s">
        <v>106</v>
      </c>
      <c r="D72" s="17">
        <v>2</v>
      </c>
    </row>
    <row r="73" spans="3:4">
      <c r="C73" s="4" t="s">
        <v>107</v>
      </c>
      <c r="D73" s="17">
        <v>30</v>
      </c>
    </row>
  </sheetData>
  <mergeCells count="15">
    <mergeCell ref="B1:I1"/>
    <mergeCell ref="B2:I2"/>
    <mergeCell ref="B3:I3"/>
    <mergeCell ref="D5:F5"/>
    <mergeCell ref="D6:F6"/>
    <mergeCell ref="D7:F7"/>
    <mergeCell ref="D8:F8"/>
    <mergeCell ref="D9:F9"/>
    <mergeCell ref="B11:I11"/>
    <mergeCell ref="B37:I37"/>
    <mergeCell ref="B45:I45"/>
    <mergeCell ref="B50:I50"/>
    <mergeCell ref="B56:I56"/>
    <mergeCell ref="B61:I61"/>
    <mergeCell ref="B64:I64"/>
  </mergeCells>
  <dataValidations count="4">
    <dataValidation type="list" allowBlank="1" sqref="D47 D58">
      <formula1>"Yes,No"</formula1>
    </dataValidation>
    <dataValidation type="list" allowBlank="1" sqref="D16:D35">
      <formula1>VendorList</formula1>
    </dataValidation>
    <dataValidation type="list" allowBlank="1" sqref="E16:E35">
      <formula1>PbxModelList</formula1>
    </dataValidation>
    <dataValidation type="list" allowBlank="1" sqref="I16:I35">
      <formula1>"TCP Push,TCP Pull,SFTP"</formula1>
    </dataValidation>
  </dataValidations>
  <pageMargins left="0.7" right="0.7" top="0.75" bottom="0.75" header="0.3" footer="0.3"/>
  <pageSetup paperSize="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3A047"/>
  </sheetPr>
  <dimension ref="B1:I60"/>
  <sheetViews>
    <sheetView showGridLines="0" workbookViewId="0">
      <selection activeCell="A1" sqref="A1"/>
    </sheetView>
  </sheetViews>
  <sheetFormatPr defaultColWidth="9" defaultRowHeight="14.4"/>
  <cols>
    <col min="1" max="1" width="3" customWidth="1"/>
    <col min="2" max="2" width="34" customWidth="1"/>
    <col min="3" max="7" width="16" customWidth="1"/>
    <col min="8" max="8" width="20" customWidth="1"/>
  </cols>
  <sheetData>
    <row r="1" ht="28" customHeight="1" spans="2:9">
      <c r="B1" s="1" t="s">
        <v>108</v>
      </c>
      <c r="C1" s="1"/>
      <c r="D1" s="1"/>
      <c r="E1" s="1"/>
      <c r="F1" s="1"/>
      <c r="G1" s="1"/>
      <c r="H1" s="1"/>
      <c r="I1" s="1"/>
    </row>
    <row r="2" ht="20" customHeight="1" spans="2:9">
      <c r="B2" s="2" t="s">
        <v>109</v>
      </c>
      <c r="C2" s="2"/>
      <c r="D2" s="2"/>
      <c r="E2" s="2"/>
      <c r="F2" s="2"/>
      <c r="G2" s="2"/>
      <c r="H2" s="2"/>
      <c r="I2" s="2"/>
    </row>
    <row r="3" ht="22" customHeight="1" spans="2:9">
      <c r="B3" s="3" t="s">
        <v>110</v>
      </c>
      <c r="C3" s="3"/>
      <c r="D3" s="3"/>
      <c r="E3" s="3"/>
      <c r="F3" s="3"/>
      <c r="G3" s="3"/>
      <c r="H3" s="3"/>
      <c r="I3" s="3"/>
    </row>
    <row r="5" spans="2:3">
      <c r="B5" s="4" t="s">
        <v>111</v>
      </c>
      <c r="C5" s="6">
        <f>SUM(ExtRange)</f>
        <v>0</v>
      </c>
    </row>
    <row r="6" spans="2:3">
      <c r="B6" s="4" t="s">
        <v>112</v>
      </c>
      <c r="C6" s="6">
        <f>SUM(PbxRange)</f>
        <v>0</v>
      </c>
    </row>
    <row r="7" spans="2:3">
      <c r="B7" s="4" t="s">
        <v>113</v>
      </c>
      <c r="C7" s="6">
        <f>COUNTIF(ExtRange,"&gt;0")</f>
        <v>0</v>
      </c>
    </row>
    <row r="8" spans="2:3">
      <c r="B8" s="4" t="s">
        <v>114</v>
      </c>
      <c r="C8" s="6">
        <f>SUMPRODUCT(ExtRange,(CallsPerExtRange&gt;0)*CallsPerExtRange+(CallsPerExtRange=0)*CallsPerExtDefault)</f>
        <v>0</v>
      </c>
    </row>
    <row r="9" spans="2:3">
      <c r="B9" s="4" t="s">
        <v>115</v>
      </c>
      <c r="C9" s="6">
        <f>C8*WorkingDaysPerMonth</f>
        <v>0</v>
      </c>
    </row>
    <row r="10" spans="2:3">
      <c r="B10" s="4" t="s">
        <v>116</v>
      </c>
      <c r="C10" s="6">
        <f>C9*12</f>
        <v>0</v>
      </c>
    </row>
    <row r="12" ht="22" customHeight="1" spans="2:9">
      <c r="B12" s="3" t="s">
        <v>117</v>
      </c>
      <c r="C12" s="3"/>
      <c r="D12" s="3"/>
      <c r="E12" s="3"/>
      <c r="F12" s="3"/>
      <c r="G12" s="3"/>
      <c r="H12" s="3"/>
      <c r="I12" s="3"/>
    </row>
    <row r="14" spans="2:7">
      <c r="B14" s="9" t="s">
        <v>118</v>
      </c>
      <c r="C14" s="9" t="s">
        <v>119</v>
      </c>
      <c r="D14" s="9" t="s">
        <v>120</v>
      </c>
      <c r="E14" s="9" t="s">
        <v>121</v>
      </c>
      <c r="F14" s="9" t="s">
        <v>122</v>
      </c>
      <c r="G14" s="9" t="s">
        <v>123</v>
      </c>
    </row>
    <row r="15" spans="2:7">
      <c r="B15" s="4" t="s">
        <v>124</v>
      </c>
      <c r="C15" s="6">
        <f>C9*6</f>
        <v>0</v>
      </c>
      <c r="D15" s="10">
        <f>(C15*AvgCallRecordBytes)/(1024*1024*1024)*1.35*DbOverheadFactor</f>
        <v>0</v>
      </c>
      <c r="E15" s="10">
        <f>COUNTIF(ExtRange,"&gt;0")*ReportsPerSiteMonth*(AvgReportFileKb/1024/1024)*MIN(6,ReportRetentionMonths)</f>
        <v>0</v>
      </c>
      <c r="F15" s="10">
        <f>D15*0.4*BackupCopies</f>
        <v>0</v>
      </c>
      <c r="G15" s="10">
        <f>(OsAppInstallGb+DbBaseGb+D15+E15+F15)*1.2</f>
        <v>12</v>
      </c>
    </row>
    <row r="16" spans="2:7">
      <c r="B16" s="4" t="s">
        <v>125</v>
      </c>
      <c r="C16" s="6">
        <f>C9*12</f>
        <v>0</v>
      </c>
      <c r="D16" s="10">
        <f>(C16*AvgCallRecordBytes)/(1024*1024*1024)*1.35*DbOverheadFactor</f>
        <v>0</v>
      </c>
      <c r="E16" s="10">
        <f>COUNTIF(ExtRange,"&gt;0")*ReportsPerSiteMonth*(AvgReportFileKb/1024/1024)*MIN(12,ReportRetentionMonths)</f>
        <v>0</v>
      </c>
      <c r="F16" s="10">
        <f>D16*0.4*BackupCopies</f>
        <v>0</v>
      </c>
      <c r="G16" s="10">
        <f>(OsAppInstallGb+DbBaseGb+D16+E16+F16)*1.2</f>
        <v>12</v>
      </c>
    </row>
    <row r="17" spans="2:7">
      <c r="B17" s="4" t="s">
        <v>126</v>
      </c>
      <c r="C17" s="6">
        <f>C9*18</f>
        <v>0</v>
      </c>
      <c r="D17" s="10">
        <f>(C17*AvgCallRecordBytes)/(1024*1024*1024)*1.35*DbOverheadFactor</f>
        <v>0</v>
      </c>
      <c r="E17" s="10">
        <f>COUNTIF(ExtRange,"&gt;0")*ReportsPerSiteMonth*(AvgReportFileKb/1024/1024)*MIN(18,ReportRetentionMonths)</f>
        <v>0</v>
      </c>
      <c r="F17" s="10">
        <f>D17*0.4*BackupCopies</f>
        <v>0</v>
      </c>
      <c r="G17" s="10">
        <f>(OsAppInstallGb+DbBaseGb+D17+E17+F17)*1.2</f>
        <v>12</v>
      </c>
    </row>
    <row r="18" spans="2:7">
      <c r="B18" s="4" t="s">
        <v>127</v>
      </c>
      <c r="C18" s="6">
        <f>C9*24</f>
        <v>0</v>
      </c>
      <c r="D18" s="10">
        <f>(C18*AvgCallRecordBytes)/(1024*1024*1024)*1.35*DbOverheadFactor</f>
        <v>0</v>
      </c>
      <c r="E18" s="10">
        <f>COUNTIF(ExtRange,"&gt;0")*ReportsPerSiteMonth*(AvgReportFileKb/1024/1024)*MIN(24,ReportRetentionMonths)</f>
        <v>0</v>
      </c>
      <c r="F18" s="10">
        <f>D18*0.4*BackupCopies</f>
        <v>0</v>
      </c>
      <c r="G18" s="10">
        <f>(OsAppInstallGb+DbBaseGb+D18+E18+F18)*1.2</f>
        <v>12</v>
      </c>
    </row>
    <row r="19" spans="2:7">
      <c r="B19" s="4" t="s">
        <v>128</v>
      </c>
      <c r="C19" s="6">
        <f>C9*36</f>
        <v>0</v>
      </c>
      <c r="D19" s="10">
        <f>(C19*AvgCallRecordBytes)/(1024*1024*1024)*1.35*DbOverheadFactor</f>
        <v>0</v>
      </c>
      <c r="E19" s="10">
        <f>COUNTIF(ExtRange,"&gt;0")*ReportsPerSiteMonth*(AvgReportFileKb/1024/1024)*MIN(36,ReportRetentionMonths)</f>
        <v>0</v>
      </c>
      <c r="F19" s="10">
        <f>D19*0.4*BackupCopies</f>
        <v>0</v>
      </c>
      <c r="G19" s="10">
        <f>(OsAppInstallGb+DbBaseGb+D19+E19+F19)*1.2</f>
        <v>12</v>
      </c>
    </row>
    <row r="20" spans="2:7">
      <c r="B20" s="4" t="s">
        <v>129</v>
      </c>
      <c r="C20" s="6">
        <f>C9*48</f>
        <v>0</v>
      </c>
      <c r="D20" s="10">
        <f>(C20*AvgCallRecordBytes)/(1024*1024*1024)*1.35*DbOverheadFactor</f>
        <v>0</v>
      </c>
      <c r="E20" s="10">
        <f>COUNTIF(ExtRange,"&gt;0")*ReportsPerSiteMonth*(AvgReportFileKb/1024/1024)*MIN(48,ReportRetentionMonths)</f>
        <v>0</v>
      </c>
      <c r="F20" s="10">
        <f>D20*0.4*BackupCopies</f>
        <v>0</v>
      </c>
      <c r="G20" s="10">
        <f>(OsAppInstallGb+DbBaseGb+D20+E20+F20)*1.2</f>
        <v>12</v>
      </c>
    </row>
    <row r="21" spans="2:7">
      <c r="B21" s="4" t="s">
        <v>130</v>
      </c>
      <c r="C21" s="6">
        <f>C9*60</f>
        <v>0</v>
      </c>
      <c r="D21" s="10">
        <f>(C21*AvgCallRecordBytes)/(1024*1024*1024)*1.35*DbOverheadFactor</f>
        <v>0</v>
      </c>
      <c r="E21" s="10">
        <f>COUNTIF(ExtRange,"&gt;0")*ReportsPerSiteMonth*(AvgReportFileKb/1024/1024)*MIN(60,ReportRetentionMonths)</f>
        <v>0</v>
      </c>
      <c r="F21" s="10">
        <f>D21*0.4*BackupCopies</f>
        <v>0</v>
      </c>
      <c r="G21" s="10">
        <f>(OsAppInstallGb+DbBaseGb+D21+E21+F21)*1.2</f>
        <v>12</v>
      </c>
    </row>
    <row r="22" spans="2:7">
      <c r="B22" s="4" t="s">
        <v>131</v>
      </c>
      <c r="C22" s="6">
        <f>C9*84</f>
        <v>0</v>
      </c>
      <c r="D22" s="10">
        <f>(C22*AvgCallRecordBytes)/(1024*1024*1024)*1.35*DbOverheadFactor</f>
        <v>0</v>
      </c>
      <c r="E22" s="10">
        <f>COUNTIF(ExtRange,"&gt;0")*ReportsPerSiteMonth*(AvgReportFileKb/1024/1024)*MIN(84,ReportRetentionMonths)</f>
        <v>0</v>
      </c>
      <c r="F22" s="10">
        <f>D22*0.4*BackupCopies</f>
        <v>0</v>
      </c>
      <c r="G22" s="10">
        <f>(OsAppInstallGb+DbBaseGb+D22+E22+F22)*1.2</f>
        <v>12</v>
      </c>
    </row>
    <row r="23" spans="2:7">
      <c r="B23" s="4" t="s">
        <v>132</v>
      </c>
      <c r="C23" s="6">
        <f>C9*120</f>
        <v>0</v>
      </c>
      <c r="D23" s="10">
        <f>(C23*AvgCallRecordBytes)/(1024*1024*1024)*1.35*DbOverheadFactor</f>
        <v>0</v>
      </c>
      <c r="E23" s="10">
        <f>COUNTIF(ExtRange,"&gt;0")*ReportsPerSiteMonth*(AvgReportFileKb/1024/1024)*MIN(120,ReportRetentionMonths)</f>
        <v>0</v>
      </c>
      <c r="F23" s="10">
        <f>D23*0.4*BackupCopies</f>
        <v>0</v>
      </c>
      <c r="G23" s="10">
        <f>(OsAppInstallGb+DbBaseGb+D23+E23+F23)*1.2</f>
        <v>12</v>
      </c>
    </row>
    <row r="25" ht="22" customHeight="1" spans="2:9">
      <c r="B25" s="3" t="s">
        <v>133</v>
      </c>
      <c r="C25" s="3"/>
      <c r="D25" s="3"/>
      <c r="E25" s="3"/>
      <c r="F25" s="3"/>
      <c r="G25" s="3"/>
      <c r="H25" s="3"/>
      <c r="I25" s="3"/>
    </row>
    <row r="27" ht="30" customHeight="1" spans="2:7">
      <c r="B27" s="11" t="s">
        <v>134</v>
      </c>
      <c r="C27" s="11"/>
      <c r="D27" s="11"/>
      <c r="E27" s="11"/>
      <c r="F27" s="11"/>
      <c r="G27" s="11"/>
    </row>
    <row r="29" spans="2:7">
      <c r="B29" s="9" t="s">
        <v>135</v>
      </c>
      <c r="C29" s="9" t="s">
        <v>136</v>
      </c>
      <c r="D29" s="9" t="s">
        <v>137</v>
      </c>
      <c r="E29" s="9" t="s">
        <v>138</v>
      </c>
      <c r="F29" s="9" t="s">
        <v>139</v>
      </c>
      <c r="G29" s="9" t="s">
        <v>140</v>
      </c>
    </row>
    <row r="30" spans="2:7">
      <c r="B30" s="4" t="s">
        <v>141</v>
      </c>
      <c r="C30" s="4" t="s">
        <v>142</v>
      </c>
      <c r="D30" s="6">
        <v>2</v>
      </c>
      <c r="E30" s="6">
        <v>12</v>
      </c>
      <c r="F30" s="6">
        <v>250</v>
      </c>
      <c r="G30" s="5" t="str">
        <f>IF(C5&lt;=500,"YES","")</f>
        <v>YES</v>
      </c>
    </row>
    <row r="31" spans="2:7">
      <c r="B31" s="4" t="s">
        <v>143</v>
      </c>
      <c r="C31" s="4" t="s">
        <v>144</v>
      </c>
      <c r="D31" s="6">
        <v>4</v>
      </c>
      <c r="E31" s="6">
        <v>16</v>
      </c>
      <c r="F31" s="6">
        <v>500</v>
      </c>
      <c r="G31" s="5" t="str">
        <f>IF(AND(C5&gt;500,C5&lt;=2500),"YES","")</f>
        <v/>
      </c>
    </row>
    <row r="32" spans="2:7">
      <c r="B32" s="4" t="s">
        <v>145</v>
      </c>
      <c r="C32" s="4" t="s">
        <v>146</v>
      </c>
      <c r="D32" s="6">
        <v>8</v>
      </c>
      <c r="E32" s="6">
        <v>32</v>
      </c>
      <c r="F32" s="6">
        <v>1000</v>
      </c>
      <c r="G32" s="5" t="str">
        <f>IF(AND(C5&gt;2500,C5&lt;=10000),"YES","")</f>
        <v/>
      </c>
    </row>
    <row r="33" spans="2:7">
      <c r="B33" s="4" t="s">
        <v>147</v>
      </c>
      <c r="C33" s="4" t="s">
        <v>148</v>
      </c>
      <c r="D33" s="6">
        <v>16</v>
      </c>
      <c r="E33" s="6">
        <v>64</v>
      </c>
      <c r="F33" s="6">
        <v>2000</v>
      </c>
      <c r="G33" s="5" t="str">
        <f>IF(C5&gt;10000,"YES","")</f>
        <v/>
      </c>
    </row>
    <row r="35" spans="2:4">
      <c r="B35" s="4" t="s">
        <v>149</v>
      </c>
      <c r="C35" s="7" t="str">
        <f>IF(C5&lt;=500,"Small",IF(C5&lt;=2500,"Medium",IF(C5&lt;=10000,"Large","Enterprise")))</f>
        <v>Small</v>
      </c>
      <c r="D35" s="7"/>
    </row>
    <row r="36" spans="2:3">
      <c r="B36" s="4" t="s">
        <v>150</v>
      </c>
      <c r="C36" s="12">
        <f>INDEX(D30:D33,MATCH(C35,B30:B33,0))</f>
        <v>2</v>
      </c>
    </row>
    <row r="37" spans="2:3">
      <c r="B37" s="4" t="s">
        <v>151</v>
      </c>
      <c r="C37" s="12">
        <f>INDEX(E30:E33,MATCH(C35,B30:B33,0))</f>
        <v>12</v>
      </c>
    </row>
    <row r="38" spans="2:3">
      <c r="B38" s="4" t="s">
        <v>152</v>
      </c>
      <c r="C38" s="12">
        <f>INDEX(F30:F33,MATCH(C35,B30:B33,0))</f>
        <v>250</v>
      </c>
    </row>
    <row r="40" ht="22" customHeight="1" spans="2:9">
      <c r="B40" s="3" t="s">
        <v>153</v>
      </c>
      <c r="C40" s="3"/>
      <c r="D40" s="3"/>
      <c r="E40" s="3"/>
      <c r="F40" s="3"/>
      <c r="G40" s="3"/>
      <c r="H40" s="3"/>
      <c r="I40" s="3"/>
    </row>
    <row r="42" spans="2:6">
      <c r="B42" s="9" t="s">
        <v>154</v>
      </c>
      <c r="C42" s="9" t="s">
        <v>155</v>
      </c>
      <c r="D42" s="9" t="s">
        <v>156</v>
      </c>
      <c r="E42" s="9" t="s">
        <v>157</v>
      </c>
      <c r="F42" s="9" t="s">
        <v>158</v>
      </c>
    </row>
    <row r="43" spans="2:6">
      <c r="B43" s="4" t="s">
        <v>159</v>
      </c>
      <c r="C43" s="5" t="str">
        <f>IF(CxRealTime="Yes","Yes","No")</f>
        <v>No</v>
      </c>
      <c r="D43" s="6">
        <f>IF(CxRealTime&lt;&gt;"Yes",0,IF(C35="Small",1,IF(C35="Medium",2,IF(C35="Large",4,8))))</f>
        <v>0</v>
      </c>
      <c r="E43" s="6">
        <f>IF(CxRealTime&lt;&gt;"Yes",0,IF(C35="Small",4,IF(C35="Medium",8,IF(C35="Large",16,32))))</f>
        <v>0</v>
      </c>
      <c r="F43" s="6">
        <f>IF(CxRealTime&lt;&gt;"Yes",0,20)</f>
        <v>0</v>
      </c>
    </row>
    <row r="44" spans="2:6">
      <c r="B44" s="4" t="s">
        <v>160</v>
      </c>
      <c r="C44" s="5" t="str">
        <f>IF((PhoneSeats+NotifierSeats)&gt;0,"Yes","No")</f>
        <v>No</v>
      </c>
      <c r="D44" s="6">
        <f>IF((PhoneSeats+NotifierSeats)=0,0,IF(C35="Small",1,IF(C35="Medium",1,IF(C35="Large",2,4))))</f>
        <v>0</v>
      </c>
      <c r="E44" s="6">
        <f>IF((PhoneSeats+NotifierSeats)=0,0,IF(C35="Small",2,IF(C35="Medium",4,IF(C35="Large",8,16))))</f>
        <v>0</v>
      </c>
      <c r="F44" s="6">
        <f>IF((PhoneSeats+NotifierSeats)=0,0,10)</f>
        <v>0</v>
      </c>
    </row>
    <row r="45" spans="2:6">
      <c r="B45" s="4" t="s">
        <v>161</v>
      </c>
      <c r="C45" s="5" t="str">
        <f>IF(SnmpEnabled="Yes","Yes","No")</f>
        <v>No</v>
      </c>
      <c r="D45" s="6">
        <f>IF(SnmpEnabled&lt;&gt;"Yes",0,IF(C35="Small",0,IF(C35="Medium",0,IF(C35="Large",1,2))))</f>
        <v>0</v>
      </c>
      <c r="E45" s="6">
        <f>IF(SnmpEnabled&lt;&gt;"Yes",0,IF(C35="Small",1,IF(C35="Medium",2,IF(C35="Large",4,8))))</f>
        <v>0</v>
      </c>
      <c r="F45" s="6">
        <f>IF(SnmpEnabled&lt;&gt;"Yes",0,5)</f>
        <v>0</v>
      </c>
    </row>
    <row r="46" spans="2:6">
      <c r="B46" s="4" t="s">
        <v>162</v>
      </c>
      <c r="C46" s="5" t="str">
        <f>IF(SipVoiceSeats&gt;0,"Yes","No")</f>
        <v>No</v>
      </c>
      <c r="D46" s="6">
        <f>IF(SipVoiceSeats=0,0,IF(SipVoiceSeats&lt;=4,1,IF(SipVoiceSeats&lt;=12,2,4)))</f>
        <v>0</v>
      </c>
      <c r="E46" s="6">
        <f>IF(SipVoiceSeats=0,0,IF(SipVoiceSeats&lt;=4,1,IF(SipVoiceSeats&lt;=12,2,4)))</f>
        <v>0</v>
      </c>
      <c r="F46" s="6">
        <f>IF(SipVoiceSeats=0,0,5)</f>
        <v>0</v>
      </c>
    </row>
    <row r="48" spans="2:4">
      <c r="B48" s="4" t="s">
        <v>163</v>
      </c>
      <c r="D48" s="6">
        <f>SUM(D43:D46)</f>
        <v>0</v>
      </c>
    </row>
    <row r="49" spans="2:4">
      <c r="B49" s="4" t="s">
        <v>164</v>
      </c>
      <c r="D49" s="6">
        <f>SUM(E43:E46)</f>
        <v>0</v>
      </c>
    </row>
    <row r="50" spans="2:4">
      <c r="B50" s="4" t="s">
        <v>165</v>
      </c>
      <c r="D50" s="6">
        <f>SUM(F43:F46)</f>
        <v>0</v>
      </c>
    </row>
    <row r="52" ht="22" customHeight="1" spans="2:9">
      <c r="B52" s="3" t="s">
        <v>166</v>
      </c>
      <c r="C52" s="3"/>
      <c r="D52" s="3"/>
      <c r="E52" s="3"/>
      <c r="F52" s="3"/>
      <c r="G52" s="3"/>
      <c r="H52" s="3"/>
      <c r="I52" s="3"/>
    </row>
    <row r="54" spans="2:4">
      <c r="B54" s="4" t="s">
        <v>167</v>
      </c>
      <c r="C54" s="7" t="str">
        <f>C35</f>
        <v>Small</v>
      </c>
      <c r="D54" s="7"/>
    </row>
    <row r="55" spans="2:3">
      <c r="B55" s="4" t="s">
        <v>168</v>
      </c>
      <c r="C55" s="12">
        <f>C36+D48</f>
        <v>2</v>
      </c>
    </row>
    <row r="56" spans="2:3">
      <c r="B56" s="4" t="s">
        <v>169</v>
      </c>
      <c r="C56" s="12">
        <f>C37+D49</f>
        <v>12</v>
      </c>
    </row>
    <row r="57" spans="2:3">
      <c r="B57" s="4" t="s">
        <v>170</v>
      </c>
      <c r="C57" s="12">
        <f>C38+D50</f>
        <v>250</v>
      </c>
    </row>
    <row r="58" spans="2:3">
      <c r="B58" s="4" t="s">
        <v>171</v>
      </c>
      <c r="C58" s="13">
        <f>IFERROR(INDEX(G15:G23,MATCH(CdrRetentionMonths,{6;12;18;24;36;48;60;84;120},0)),"Set CDR Retention to 6/12/18/24/36/48/60/84/120")</f>
        <v>12</v>
      </c>
    </row>
    <row r="59" spans="2:8">
      <c r="B59" s="4" t="s">
        <v>172</v>
      </c>
      <c r="C59" s="7" t="str">
        <f>IF(C35="Small","Windows Server 2019/2022/2025 (or Win 10/11 for lab)",IF(C35="Enterprise","Windows Server 2022/2025","Windows Server 2019/2022/2025"))</f>
        <v>Windows Server 2019/2022/2025 (or Win 10/11 for lab)</v>
      </c>
      <c r="D59" s="7"/>
      <c r="E59" s="7"/>
      <c r="F59" s="7"/>
      <c r="G59" s="7"/>
      <c r="H59" s="7"/>
    </row>
    <row r="60" spans="2:3">
      <c r="B60" s="4" t="s">
        <v>173</v>
      </c>
      <c r="C60" s="7" t="str">
        <f>"PostgreSQL 17"</f>
        <v>PostgreSQL 17</v>
      </c>
    </row>
  </sheetData>
  <mergeCells count="11">
    <mergeCell ref="B1:I1"/>
    <mergeCell ref="B2:I2"/>
    <mergeCell ref="B3:I3"/>
    <mergeCell ref="B12:I12"/>
    <mergeCell ref="B25:I25"/>
    <mergeCell ref="B27:G27"/>
    <mergeCell ref="C35:D35"/>
    <mergeCell ref="B40:I40"/>
    <mergeCell ref="B52:I52"/>
    <mergeCell ref="C54:D54"/>
    <mergeCell ref="C59:H59"/>
  </mergeCells>
  <pageMargins left="0.7" right="0.7" top="0.75" bottom="0.75" header="0.3" footer="0.3"/>
  <pageSetup paperSize="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D2B4A"/>
  </sheetPr>
  <dimension ref="B2:I40"/>
  <sheetViews>
    <sheetView showGridLines="0" topLeftCell="A14" workbookViewId="0">
      <selection activeCell="A1" sqref="A1"/>
    </sheetView>
  </sheetViews>
  <sheetFormatPr defaultColWidth="9" defaultRowHeight="14.4"/>
  <cols>
    <col min="1" max="1" width="3" customWidth="1"/>
    <col min="2" max="2" width="30" customWidth="1"/>
    <col min="3" max="3" width="31.6666666666667" customWidth="1"/>
    <col min="4" max="5" width="22" customWidth="1"/>
    <col min="6" max="6" width="6" customWidth="1"/>
  </cols>
  <sheetData>
    <row r="2" ht="28" customHeight="1" spans="2:9">
      <c r="B2" s="1" t="s">
        <v>174</v>
      </c>
      <c r="C2" s="1"/>
      <c r="D2" s="1"/>
      <c r="E2" s="1"/>
      <c r="F2" s="1"/>
      <c r="G2" s="1"/>
      <c r="H2" s="1"/>
      <c r="I2" s="1"/>
    </row>
    <row r="3" ht="20" customHeight="1" spans="2:9">
      <c r="B3" s="2" t="s">
        <v>175</v>
      </c>
      <c r="C3" s="2"/>
      <c r="D3" s="2"/>
      <c r="E3" s="2"/>
      <c r="F3" s="2"/>
      <c r="G3" s="2"/>
      <c r="H3" s="2"/>
      <c r="I3" s="2"/>
    </row>
    <row r="5" ht="22" customHeight="1" spans="2:9">
      <c r="B5" s="3" t="s">
        <v>176</v>
      </c>
      <c r="C5" s="3"/>
      <c r="D5" s="3"/>
      <c r="E5" s="3"/>
      <c r="F5" s="3"/>
      <c r="G5" s="3"/>
      <c r="H5" s="3"/>
      <c r="I5" s="3"/>
    </row>
    <row r="7" spans="2:5">
      <c r="B7" s="4" t="s">
        <v>177</v>
      </c>
      <c r="C7" s="5">
        <f>'Customer Input'!$D$5</f>
        <v>0</v>
      </c>
      <c r="D7" s="5"/>
      <c r="E7" s="5"/>
    </row>
    <row r="8" spans="2:5">
      <c r="B8" s="4" t="s">
        <v>178</v>
      </c>
      <c r="C8" s="5">
        <f>'Customer Input'!$D$6</f>
        <v>0</v>
      </c>
      <c r="D8" s="5"/>
      <c r="E8" s="5"/>
    </row>
    <row r="9" spans="2:5">
      <c r="B9" s="4" t="s">
        <v>179</v>
      </c>
      <c r="C9" s="5">
        <f>'Customer Input'!$D$7</f>
        <v>0</v>
      </c>
      <c r="D9" s="5"/>
      <c r="E9" s="5"/>
    </row>
    <row r="10" spans="2:5">
      <c r="B10" s="4" t="s">
        <v>180</v>
      </c>
      <c r="C10" s="5">
        <f>'Customer Input'!$D$8</f>
        <v>0</v>
      </c>
      <c r="D10" s="5"/>
      <c r="E10" s="5"/>
    </row>
    <row r="11" spans="2:5">
      <c r="B11" s="4" t="s">
        <v>71</v>
      </c>
      <c r="C11" s="5">
        <f>'Customer Input'!$D$9</f>
        <v>0</v>
      </c>
      <c r="D11" s="5"/>
      <c r="E11" s="5"/>
    </row>
    <row r="13" ht="22" customHeight="1" spans="2:9">
      <c r="B13" s="3" t="s">
        <v>181</v>
      </c>
      <c r="C13" s="3"/>
      <c r="D13" s="3"/>
      <c r="E13" s="3"/>
      <c r="F13" s="3"/>
      <c r="G13" s="3"/>
      <c r="H13" s="3"/>
      <c r="I13" s="3"/>
    </row>
    <row r="15" spans="2:3">
      <c r="B15" s="4" t="s">
        <v>182</v>
      </c>
      <c r="C15" s="6">
        <f>ActiveSites</f>
        <v>0</v>
      </c>
    </row>
    <row r="16" spans="2:3">
      <c r="B16" s="4" t="s">
        <v>183</v>
      </c>
      <c r="C16" s="6">
        <f>TotalPbxSystems</f>
        <v>0</v>
      </c>
    </row>
    <row r="17" spans="2:3">
      <c r="B17" s="4" t="s">
        <v>111</v>
      </c>
      <c r="C17" s="6">
        <f>TotalExtensions</f>
        <v>0</v>
      </c>
    </row>
    <row r="18" spans="2:3">
      <c r="B18" s="4" t="s">
        <v>184</v>
      </c>
      <c r="C18" s="6">
        <f>NumberOfTenants</f>
        <v>0</v>
      </c>
    </row>
    <row r="19" spans="2:3">
      <c r="B19" s="4" t="s">
        <v>185</v>
      </c>
      <c r="C19" s="6">
        <f>TotalCallsDay</f>
        <v>0</v>
      </c>
    </row>
    <row r="20" spans="2:3">
      <c r="B20" s="4" t="s">
        <v>186</v>
      </c>
      <c r="C20" s="6">
        <f>TotalCallsYear</f>
        <v>0</v>
      </c>
    </row>
    <row r="22" ht="22" customHeight="1" spans="2:9">
      <c r="B22" s="3" t="s">
        <v>187</v>
      </c>
      <c r="C22" s="3"/>
      <c r="D22" s="3"/>
      <c r="E22" s="3"/>
      <c r="F22" s="3"/>
      <c r="G22" s="3"/>
      <c r="H22" s="3"/>
      <c r="I22" s="3"/>
    </row>
    <row r="24" spans="2:5">
      <c r="B24" s="4" t="s">
        <v>159</v>
      </c>
      <c r="C24" s="5" t="str">
        <f>IF(CxRealTime="Yes","Enabled","Not enabled")</f>
        <v>Not enabled</v>
      </c>
      <c r="D24" s="5"/>
      <c r="E24" s="5"/>
    </row>
    <row r="25" spans="2:5">
      <c r="B25" s="4" t="s">
        <v>188</v>
      </c>
      <c r="C25" s="5">
        <f>PhoneSeats</f>
        <v>0</v>
      </c>
      <c r="D25" s="5"/>
      <c r="E25" s="5"/>
    </row>
    <row r="26" spans="2:5">
      <c r="B26" s="4" t="s">
        <v>189</v>
      </c>
      <c r="C26" s="5">
        <f>NotifierSeats</f>
        <v>0</v>
      </c>
      <c r="D26" s="5"/>
      <c r="E26" s="5"/>
    </row>
    <row r="27" spans="2:5">
      <c r="B27" s="4" t="s">
        <v>190</v>
      </c>
      <c r="C27" s="5" t="str">
        <f>IF(SnmpEnabled="Yes","Enabled","Not enabled")</f>
        <v>Not enabled</v>
      </c>
      <c r="D27" s="5"/>
      <c r="E27" s="5"/>
    </row>
    <row r="28" spans="2:5">
      <c r="B28" s="4" t="s">
        <v>191</v>
      </c>
      <c r="C28" s="5">
        <f>SipVoiceSeats</f>
        <v>0</v>
      </c>
      <c r="D28" s="5"/>
      <c r="E28" s="5"/>
    </row>
    <row r="29" spans="2:5">
      <c r="B29" s="4" t="s">
        <v>173</v>
      </c>
      <c r="C29" s="5" t="str">
        <f>"PostgreSQL 17"</f>
        <v>PostgreSQL 17</v>
      </c>
      <c r="D29" s="5"/>
      <c r="E29" s="5"/>
    </row>
    <row r="31" ht="22" customHeight="1" spans="2:9">
      <c r="B31" s="3" t="s">
        <v>192</v>
      </c>
      <c r="C31" s="3"/>
      <c r="D31" s="3"/>
      <c r="E31" s="3"/>
      <c r="F31" s="3"/>
      <c r="G31" s="3"/>
      <c r="H31" s="3"/>
      <c r="I31" s="3"/>
    </row>
    <row r="33" spans="2:3">
      <c r="B33" s="4" t="s">
        <v>167</v>
      </c>
      <c r="C33" s="7" t="str">
        <f>RecommendedTier</f>
        <v>Small</v>
      </c>
    </row>
    <row r="34" spans="2:3">
      <c r="B34" s="4" t="s">
        <v>168</v>
      </c>
      <c r="C34" s="7">
        <f>BaselineVCpu+AdditiveVCpu</f>
        <v>2</v>
      </c>
    </row>
    <row r="35" spans="2:3">
      <c r="B35" s="4" t="s">
        <v>169</v>
      </c>
      <c r="C35" s="7">
        <f>BaselineRam+AdditiveRam</f>
        <v>12</v>
      </c>
    </row>
    <row r="36" spans="2:3">
      <c r="B36" s="4" t="s">
        <v>152</v>
      </c>
      <c r="C36" s="7">
        <f>BaselineDisk+AdditiveDisk</f>
        <v>250</v>
      </c>
    </row>
    <row r="37" spans="2:3">
      <c r="B37" s="4" t="s">
        <v>172</v>
      </c>
      <c r="C37" s="7" t="str">
        <f>IF(RecommendedTier="Small","Windows Server 2019/2022/2025","Windows Server 2022/2025")</f>
        <v>Windows Server 2019/2022/2025</v>
      </c>
    </row>
    <row r="39" spans="2:5">
      <c r="B39" s="8" t="s">
        <v>193</v>
      </c>
      <c r="C39" s="8"/>
      <c r="D39" s="8"/>
      <c r="E39" s="8"/>
    </row>
    <row r="40" spans="2:5">
      <c r="B40" s="8" t="s">
        <v>194</v>
      </c>
      <c r="C40" s="8"/>
      <c r="D40" s="8"/>
      <c r="E40" s="8"/>
    </row>
  </sheetData>
  <mergeCells count="19">
    <mergeCell ref="B2:I2"/>
    <mergeCell ref="B3:I3"/>
    <mergeCell ref="B5:I5"/>
    <mergeCell ref="C7:E7"/>
    <mergeCell ref="C8:E8"/>
    <mergeCell ref="C9:E9"/>
    <mergeCell ref="C10:E10"/>
    <mergeCell ref="C11:E11"/>
    <mergeCell ref="B13:I13"/>
    <mergeCell ref="B22:I22"/>
    <mergeCell ref="C24:E24"/>
    <mergeCell ref="C25:E25"/>
    <mergeCell ref="C26:E26"/>
    <mergeCell ref="C27:E27"/>
    <mergeCell ref="C28:E28"/>
    <mergeCell ref="C29:E29"/>
    <mergeCell ref="B31:I31"/>
    <mergeCell ref="B39:E39"/>
    <mergeCell ref="B40:E40"/>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MeeraApps Technology</Company>
  <Application>Microsoft Excel</Application>
  <HeadingPairs>
    <vt:vector size="2" baseType="variant">
      <vt:variant>
        <vt:lpstr>工作表</vt:lpstr>
      </vt:variant>
      <vt:variant>
        <vt:i4>5</vt:i4>
      </vt:variant>
    </vt:vector>
  </HeadingPairs>
  <TitlesOfParts>
    <vt:vector size="5" baseType="lpstr">
      <vt:lpstr>Instructions</vt:lpstr>
      <vt:lpstr>Reference Data</vt:lpstr>
      <vt:lpstr>Customer Input</vt:lpstr>
      <vt:lpstr>Sizing Results</vt:lpstr>
      <vt:lpstr>Proposal Summary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EVOA Capacity Planning Calculator v1.11.0</dc:title>
  <dc:subject>Sizing and licensing calculator for EVOA v1.11.0</dc:subject>
  <dc:creator>MeeraApps Technology</dc:creator>
  <cp:lastModifiedBy>WPS_1784930851</cp:lastModifiedBy>
  <dcterms:created xsi:type="dcterms:W3CDTF">2026-09-21T22:23:00Z</dcterms:created>
  <dcterms:modified xsi:type="dcterms:W3CDTF">2026-09-21T22:25:50Z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AA89C078F0254795ADEDCB4452365886_12</vt:lpwstr>
  </property>
  <property fmtid="{D5CDD505-2E9C-101B-9397-08002B2CF9AE}" pid="3" name="KSOProductBuildVer">
    <vt:lpwstr>2057-12.2.0.23196</vt:lpwstr>
  </property>
</Properties>
</file>