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activeTab="2"/>
  </bookViews>
  <sheets>
    <sheet name="Instructions" sheetId="1" r:id="rId1"/>
    <sheet name="Reference Data" sheetId="2" state="hidden" r:id="rId2"/>
    <sheet name="Customer Input" sheetId="3" r:id="rId3"/>
    <sheet name="Sizing Results" sheetId="4" r:id="rId4"/>
    <sheet name="License BOM" sheetId="5" r:id="rId5"/>
    <sheet name="Proposal Summary" sheetId="6" r:id="rId6"/>
  </sheets>
  <definedNames>
    <definedName name="VendorList">Instructions!$G$2:$RDG$6</definedName>
    <definedName name="DbEngineList">Instructions!$I$2:$RDI$3</definedName>
    <definedName name="YesNoList">Instructions!$K$2:$RDK$3</definedName>
    <definedName name="SaLevelList">Instructions!$M$2:$RDM$4</definedName>
    <definedName name="PbxCatalog">Instructions!$E$2:$RDA$16</definedName>
    <definedName name="PbxModelList">Instructions!$A$2:$RDA$16</definedName>
    <definedName name="NumberOfTenants">'Customer Input'!$D$13</definedName>
    <definedName name="CdrRetentionMonths">'Customer Input'!$D$39</definedName>
    <definedName name="ReportRetentionMonths">'Customer Input'!$D$40</definedName>
    <definedName name="BackupCopies">'Customer Input'!$D$42</definedName>
    <definedName name="WorkingDaysPerMonth">'Customer Input'!$D$70</definedName>
    <definedName name="AvgCallRecordBytes">'Customer Input'!$D$71</definedName>
    <definedName name="AvgReportFileKb">'Customer Input'!$D$72</definedName>
    <definedName name="ReportsPerSiteMonth">'Customer Input'!$D$73</definedName>
    <definedName name="DbOverheadFactor">'Customer Input'!$D$74</definedName>
    <definedName name="OsAppInstallGb">'Customer Input'!$D$75</definedName>
    <definedName name="DbBaseGb">'Customer Input'!$D$76</definedName>
    <definedName name="CallsPerExtDefault">'Customer Input'!$D$77</definedName>
    <definedName name="CxRealTime">'Customer Input'!$D$47</definedName>
    <definedName name="CxSupervisors">'Customer Input'!$D$48</definedName>
    <definedName name="PhoneSeats">'Customer Input'!$D$52</definedName>
    <definedName name="NotifierSeats">'Customer Input'!$D$53</definedName>
    <definedName name="SnmpEnabled">'Customer Input'!$D$57</definedName>
    <definedName name="DbEngine">'Customer Input'!$D$62</definedName>
    <definedName name="SaLevel">'Customer Input'!$D$66</definedName>
    <definedName name="SiteRows">'Customer Input'!$B$16:$I$35</definedName>
    <definedName name="ExtRange">'Customer Input'!$G$16:$G$35</definedName>
    <definedName name="PbxRange">'Customer Input'!$F$16:$F$35</definedName>
    <definedName name="CallsPerExtRange">'Customer Input'!$H$16:$H$35</definedName>
    <definedName name="RecommendedTier">'Sizing Results'!$C$35</definedName>
    <definedName name="BaselineVCpu">'Sizing Results'!$C$36</definedName>
    <definedName name="BaselineRam">'Sizing Results'!$C$37</definedName>
    <definedName name="BaselineDisk">'Sizing Results'!$C$38</definedName>
    <definedName name="AdditiveVCpu">'Sizing Results'!$D$47</definedName>
    <definedName name="AdditiveRam">'Sizing Results'!$D$48</definedName>
    <definedName name="AdditiveDisk">'Sizing Results'!$D$49</definedName>
    <definedName name="TotalExtensions">'Sizing Results'!$C$5</definedName>
    <definedName name="TotalPbxSystems">'Sizing Results'!$C$6</definedName>
    <definedName name="ActiveSites">'Sizing Results'!$C$7</definedName>
    <definedName name="TotalCallsDay">'Sizing Results'!$C$8</definedName>
    <definedName name="TotalCallsMonth">'Sizing Results'!$C$9</definedName>
    <definedName name="TotalCallsYear">'Sizing Results'!$C$10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<sst xmlns="http://schemas.openxmlformats.org/spreadsheetml/2006/main" count="293" uniqueCount="241">
  <si>
    <t>Enterprise Voice Operations &amp; Analytics (EVOA)</t>
  </si>
  <si>
    <t>Capacity Planning Calculator  —  v1.10.0  —  MeeraApps Technology</t>
  </si>
  <si>
    <t>How to Use This Calculator</t>
  </si>
  <si>
    <t>1. Go to the "Customer Input" sheet and complete the customer information section.</t>
  </si>
  <si>
    <t>2. Enter site details: PBX vendor, model, number of PBX systems, extension count, and calls per extension per day.</t>
  </si>
  <si>
    <t>3. Select the module inputs: Mitel CX Real-Time, Phone Display seats, Desktop Notifier seats, SNMP Emergency Alerts, SQL Server option.</t>
  </si>
  <si>
    <t>4. Choose the CDR retention period and backup policy.</t>
  </si>
  <si>
    <t>5. Review the auto-calculated sizing on the "Sizing Results" sheet.</t>
  </si>
  <si>
    <t>6. Check the "License BOM" sheet for the recommended part numbers and quantities.</t>
  </si>
  <si>
    <t>7. Print or PDF the "Proposal Summary" sheet for the customer proposal.</t>
  </si>
  <si>
    <t>Color Legend</t>
  </si>
  <si>
    <t xml:space="preserve">  Blue cells = Input (editable by you)</t>
  </si>
  <si>
    <t xml:space="preserve">  Grey cells = Calculated (do not edit)</t>
  </si>
  <si>
    <t xml:space="preserve">  Green highlight = Recommended / Selected result</t>
  </si>
  <si>
    <t xml:space="preserve">  Amber highlight = Warning or attention required</t>
  </si>
  <si>
    <t>Notes</t>
  </si>
  <si>
    <t>•  Unit prices are intentionally left blank on the License BOM — fill them in based on your channel partner agreement.</t>
  </si>
  <si>
    <t>•  Storage calculations include PostgreSQL / SQL Server database, indexes, reports, and configurable backup retention.</t>
  </si>
  <si>
    <t>•  Server tier recommendations follow the Installation Guide's baseline + additive model. The baseline is Call Accounting only; each licensed module adds resource on top.</t>
  </si>
  <si>
    <t>•  For Large / Enterprise tiers (10,000+ extensions), consider splitting the database onto a dedicated host.</t>
  </si>
  <si>
    <t>•  Modules with Yes/No inputs contribute their additive resources ONLY when set to Yes.</t>
  </si>
  <si>
    <t>•  Phone Display and Desktop Notifier load scales with device count (60-second phone heartbeats, one SignalR connection per station), not extension count directly.</t>
  </si>
  <si>
    <t>Supported PBX Systems (14 platforms, 4 vendors)</t>
  </si>
  <si>
    <t xml:space="preserve">   Mitel: MiVoice Business, MX-ONE, OpenScape 4000/Voice/Business, MiVoice Office 400</t>
  </si>
  <si>
    <t xml:space="preserve">   Avaya: Aura Communication Manager, IP Office</t>
  </si>
  <si>
    <t xml:space="preserve">   Cisco: Unified Communications Manager, CME / CUBE</t>
  </si>
  <si>
    <t xml:space="preserve">   Alcatel-Lucent: OmniPCX Enterprise, OmniPCX Office, OpenTouch, 4400</t>
  </si>
  <si>
    <t>Real-Time Integrations (v1.4.0+)</t>
  </si>
  <si>
    <t xml:space="preserve">   Mitel CX (SignalR) — v1.4.0+</t>
  </si>
  <si>
    <t xml:space="preserve">   Mitel Emergency Response (SNMP, UDP 162) — v1.9.0+</t>
  </si>
  <si>
    <t>Contact: sales@meeraapps.com  ·  www.meeraapps.com  ·  +966 573516885</t>
  </si>
  <si>
    <t>PBX Model</t>
  </si>
  <si>
    <t>Vendor</t>
  </si>
  <si>
    <t>RecordSize</t>
  </si>
  <si>
    <t>Mode</t>
  </si>
  <si>
    <t>Port</t>
  </si>
  <si>
    <t>Vendors</t>
  </si>
  <si>
    <t>DbEngine</t>
  </si>
  <si>
    <t>YesNo</t>
  </si>
  <si>
    <t>SALevel</t>
  </si>
  <si>
    <t>MiVoice Business</t>
  </si>
  <si>
    <t>Mitel</t>
  </si>
  <si>
    <t>TCP Pull</t>
  </si>
  <si>
    <t>PostgreSQL</t>
  </si>
  <si>
    <t>Yes</t>
  </si>
  <si>
    <t>None</t>
  </si>
  <si>
    <t>MX-ONE</t>
  </si>
  <si>
    <t>TCP Push/Pull</t>
  </si>
  <si>
    <t>Avaya</t>
  </si>
  <si>
    <t>SQL Server</t>
  </si>
  <si>
    <t>No</t>
  </si>
  <si>
    <t>Standard</t>
  </si>
  <si>
    <t>OpenScape 4000</t>
  </si>
  <si>
    <t>Cisco</t>
  </si>
  <si>
    <t>Premium</t>
  </si>
  <si>
    <t>OpenScape Voice</t>
  </si>
  <si>
    <t>SFTP</t>
  </si>
  <si>
    <t>Alcatel</t>
  </si>
  <si>
    <t>OpenScape Business</t>
  </si>
  <si>
    <t>TCP Push</t>
  </si>
  <si>
    <t>Other</t>
  </si>
  <si>
    <t>MiVoice Office 400</t>
  </si>
  <si>
    <t>Aura CM</t>
  </si>
  <si>
    <t>IP Office</t>
  </si>
  <si>
    <t>CUCM</t>
  </si>
  <si>
    <t>CME/CUBE</t>
  </si>
  <si>
    <t>OXE</t>
  </si>
  <si>
    <t>OXO</t>
  </si>
  <si>
    <t>OpenTouch</t>
  </si>
  <si>
    <t>4400</t>
  </si>
  <si>
    <t>Generic</t>
  </si>
  <si>
    <t>Capacity Planning — Customer Input</t>
  </si>
  <si>
    <t>Blue cells are for you to fill in.</t>
  </si>
  <si>
    <t>A.  Customer Information</t>
  </si>
  <si>
    <t>Customer Name</t>
  </si>
  <si>
    <t>Project Name</t>
  </si>
  <si>
    <t>Partner Name</t>
  </si>
  <si>
    <t>Country / Region</t>
  </si>
  <si>
    <t>Date</t>
  </si>
  <si>
    <t>B.  Site Topology</t>
  </si>
  <si>
    <t>Number of Tenants</t>
  </si>
  <si>
    <t>#</t>
  </si>
  <si>
    <t>Site Name</t>
  </si>
  <si>
    <t>PBX Vendor</t>
  </si>
  <si>
    <t># PBX</t>
  </si>
  <si>
    <t># Ext</t>
  </si>
  <si>
    <t>Calls/Ext/Day</t>
  </si>
  <si>
    <t>Main Site</t>
  </si>
  <si>
    <t>C.  Retention &amp; Backup Policy</t>
  </si>
  <si>
    <t>CDR Retention Period (months)</t>
  </si>
  <si>
    <t>Report Retention (months)</t>
  </si>
  <si>
    <t>Backup Frequency</t>
  </si>
  <si>
    <t>Daily</t>
  </si>
  <si>
    <t>Backup Copies Retained</t>
  </si>
  <si>
    <t>Backup Destination</t>
  </si>
  <si>
    <t>Local</t>
  </si>
  <si>
    <t>D.  Real-Time Integrations</t>
  </si>
  <si>
    <t>Mitel CX Real-Time (SignalR)</t>
  </si>
  <si>
    <t>Concurrent Supervisor Sessions</t>
  </si>
  <si>
    <t>E.  Endpoint Licenses</t>
  </si>
  <si>
    <t>Phone Display seats (Mitel 6900 count)</t>
  </si>
  <si>
    <t>Desktop Notifier seats (Windows PC count)</t>
  </si>
  <si>
    <t>F.  Emergency Alerts (SNMP)</t>
  </si>
  <si>
    <t>SNMP Trap Receiver / Emergency Alerts</t>
  </si>
  <si>
    <t>Recipient Groups (typical)</t>
  </si>
  <si>
    <t>G.  Database Engine</t>
  </si>
  <si>
    <t>Engine</t>
  </si>
  <si>
    <t>H.  Optional Features</t>
  </si>
  <si>
    <t>Software Assurance</t>
  </si>
  <si>
    <t>I.  Working Assumptions</t>
  </si>
  <si>
    <t>Working Days per Month</t>
  </si>
  <si>
    <t>Avg Call Record Size (bytes)</t>
  </si>
  <si>
    <t>Avg Report File Size (KB)</t>
  </si>
  <si>
    <t>Reports per Site per Month</t>
  </si>
  <si>
    <t>Database Overhead Factor</t>
  </si>
  <si>
    <t>OS + App Install (GB)</t>
  </si>
  <si>
    <t>PostgreSQL / SQL Base (GB)</t>
  </si>
  <si>
    <t>CDR calls per extension per day (used only if per-site column blank)</t>
  </si>
  <si>
    <t>Sizing Results</t>
  </si>
  <si>
    <t>Auto-calculated from Customer Input.</t>
  </si>
  <si>
    <t>A.  Call Volume Summary</t>
  </si>
  <si>
    <t>Total Extensions</t>
  </si>
  <si>
    <t>Total PBX Systems</t>
  </si>
  <si>
    <t>Active Sites</t>
  </si>
  <si>
    <t>Total Calls/Day</t>
  </si>
  <si>
    <t>Total Calls/Month</t>
  </si>
  <si>
    <t>Total Calls/Year</t>
  </si>
  <si>
    <t>B.  Database Storage (at selected retention)</t>
  </si>
  <si>
    <t>Retention</t>
  </si>
  <si>
    <t>CDR Records</t>
  </si>
  <si>
    <t>DB Size (GB)</t>
  </si>
  <si>
    <t>+ Reports (GB)</t>
  </si>
  <si>
    <t>+ Backups (GB)</t>
  </si>
  <si>
    <t>Total Disk (GB)</t>
  </si>
  <si>
    <t>6 months</t>
  </si>
  <si>
    <t>1 year</t>
  </si>
  <si>
    <t>18 months</t>
  </si>
  <si>
    <t>2 years</t>
  </si>
  <si>
    <t>3 years</t>
  </si>
  <si>
    <t>4 years</t>
  </si>
  <si>
    <t>5 years</t>
  </si>
  <si>
    <t>7 years</t>
  </si>
  <si>
    <t>10 years</t>
  </si>
  <si>
    <t>C.  Server Sizing — Baseline (Call Accounting only)</t>
  </si>
  <si>
    <t>Baseline tier is chosen from Total Extensions. Additive modules add on top (Section D).</t>
  </si>
  <si>
    <t>Tier</t>
  </si>
  <si>
    <t>Extensions</t>
  </si>
  <si>
    <t>vCPU</t>
  </si>
  <si>
    <t>RAM (GB)</t>
  </si>
  <si>
    <t>Disk (GB)</t>
  </si>
  <si>
    <t>Recommended?</t>
  </si>
  <si>
    <t>Small</t>
  </si>
  <si>
    <t>Up to 500</t>
  </si>
  <si>
    <t>Medium</t>
  </si>
  <si>
    <t>500 - 2,500</t>
  </si>
  <si>
    <t>Large</t>
  </si>
  <si>
    <t>2,500 - 10,000</t>
  </si>
  <si>
    <t>Enterprise</t>
  </si>
  <si>
    <t>10,000+</t>
  </si>
  <si>
    <t>Recommended Baseline Tier</t>
  </si>
  <si>
    <t>Baseline vCPU</t>
  </si>
  <si>
    <t>Baseline RAM (GB)</t>
  </si>
  <si>
    <t>Baseline Disk (GB)</t>
  </si>
  <si>
    <t>D.  Additive Resources per Licensed Module</t>
  </si>
  <si>
    <t>Module</t>
  </si>
  <si>
    <t>Enabled?</t>
  </si>
  <si>
    <t>+ vCPU</t>
  </si>
  <si>
    <t>+ RAM (GB)</t>
  </si>
  <si>
    <t>+ Disk (GB)</t>
  </si>
  <si>
    <t>Mitel CX Real-Time</t>
  </si>
  <si>
    <t>Phone Display + Desktop Notifier</t>
  </si>
  <si>
    <t>Emergency Alerts (SNMP + Email)</t>
  </si>
  <si>
    <t>Total Additive vCPU</t>
  </si>
  <si>
    <t>Total Additive RAM (GB)</t>
  </si>
  <si>
    <t>Total Additive Disk (GB)</t>
  </si>
  <si>
    <t>E.  Recommended Server Sizing (Baseline + Modules)</t>
  </si>
  <si>
    <t>Recommended Tier</t>
  </si>
  <si>
    <t>Total vCPU</t>
  </si>
  <si>
    <t>Total RAM (GB)</t>
  </si>
  <si>
    <t>Total Disk (GB, indicative)</t>
  </si>
  <si>
    <t>Total Disk @ selected retention (GB)</t>
  </si>
  <si>
    <t>Operating System</t>
  </si>
  <si>
    <t>Database Engine</t>
  </si>
  <si>
    <t>License Bill of Materials</t>
  </si>
  <si>
    <t>Essential SKUs only. Quantities derived from Customer Input + Sizing Results.</t>
  </si>
  <si>
    <t>Part Number</t>
  </si>
  <si>
    <t>Description</t>
  </si>
  <si>
    <t>Qty</t>
  </si>
  <si>
    <t>CA-BASE-0001</t>
  </si>
  <si>
    <t>Base Package (includes first tenant)</t>
  </si>
  <si>
    <t>Required, always 1</t>
  </si>
  <si>
    <t>CA-SITE-0001</t>
  </si>
  <si>
    <t>Site License</t>
  </si>
  <si>
    <t>Per active site</t>
  </si>
  <si>
    <t>CA-PBX-0001</t>
  </si>
  <si>
    <t>PBX Connection</t>
  </si>
  <si>
    <t>Per PBX system</t>
  </si>
  <si>
    <t>CA-EXT-0001</t>
  </si>
  <si>
    <t>Extension License</t>
  </si>
  <si>
    <t>Per extension</t>
  </si>
  <si>
    <t>CA-TNT-0001</t>
  </si>
  <si>
    <t>Additional Tenant</t>
  </si>
  <si>
    <t>First tenant included in Base</t>
  </si>
  <si>
    <t>CA-CX-0001</t>
  </si>
  <si>
    <t>Mitel CX Real-Time Integration</t>
  </si>
  <si>
    <t>Enable if Real-Time (SignalR) is used</t>
  </si>
  <si>
    <t>CA-PHX-0001</t>
  </si>
  <si>
    <t>Phone Display seat (Mitel 6900)</t>
  </si>
  <si>
    <t>Per phone display seat</t>
  </si>
  <si>
    <t>CA-NOTIF-0001</t>
  </si>
  <si>
    <t>Desktop Notifier seat</t>
  </si>
  <si>
    <t>Per Windows tray notifier PC</t>
  </si>
  <si>
    <t>CA-SNMP-EM</t>
  </si>
  <si>
    <t>SNMP / Emergency Alerts</t>
  </si>
  <si>
    <t>Enable if SNMP trap receiver is used</t>
  </si>
  <si>
    <t>CA-SQL-0001</t>
  </si>
  <si>
    <t>SQL Server Database Option</t>
  </si>
  <si>
    <t>Only if customer chooses SQL Server; PostgreSQL is included at no charge</t>
  </si>
  <si>
    <t>CA-SA-0001</t>
  </si>
  <si>
    <t>Software Assurance (annual)</t>
  </si>
  <si>
    <t>Level: =IF(SaLevel="None","(none)",SaLevel)</t>
  </si>
  <si>
    <t>Unit prices intentionally not shown — refer to your MeeraApps channel partner agreement.</t>
  </si>
  <si>
    <t>Capacity Planning &amp; Sizing Report</t>
  </si>
  <si>
    <t>Enterprise Voice Operations &amp; Analytics (EVOA) v1.10.0</t>
  </si>
  <si>
    <t>Customer Details</t>
  </si>
  <si>
    <t>Customer</t>
  </si>
  <si>
    <t>Project</t>
  </si>
  <si>
    <t>Partner</t>
  </si>
  <si>
    <t>Country</t>
  </si>
  <si>
    <t>Deployment Summary</t>
  </si>
  <si>
    <t>Sites</t>
  </si>
  <si>
    <t>PBX Systems</t>
  </si>
  <si>
    <t>Tenants</t>
  </si>
  <si>
    <t>Calls/Day</t>
  </si>
  <si>
    <t>Calls/Year</t>
  </si>
  <si>
    <t>Modules</t>
  </si>
  <si>
    <t>Phone Display seats</t>
  </si>
  <si>
    <t>Desktop Notifier seats</t>
  </si>
  <si>
    <t>Server Recommendation</t>
  </si>
  <si>
    <t xml:space="preserve">This proposal is valid for 30 days from date of issue.  ·  Prepared by </t>
  </si>
  <si>
    <t>MeeraApps Technology  ·  www.meeraapps.com  ·  sales@meeraapps.com  ·  +966 573516885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</si>
</sst>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yyyy\-mm\-dd"/>
  </numFmts>
  <fonts count="33">
    <font>
      <sz val="11"/>
      <color theme="1"/>
      <name val="Calibri"/>
      <charset val="134"/>
      <scheme val="minor"/>
    </font>
    <font>
      <b/>
      <sz val="18"/>
      <color rgb="FFFFFFFF"/>
      <name val="Calibri"/>
      <charset val="134"/>
    </font>
    <font>
      <i/>
      <sz val="11"/>
      <color rgb="FFF5F7FA"/>
      <name val="Calibri"/>
      <charset val="134"/>
    </font>
    <font>
      <b/>
      <sz val="12"/>
      <color rgb="FFFFFFFF"/>
      <name val="Calibri"/>
      <charset val="134"/>
    </font>
    <font>
      <sz val="10"/>
      <color rgb="FF1A1A2E"/>
      <name val="Calibri"/>
      <charset val="134"/>
    </font>
    <font>
      <i/>
      <sz val="10"/>
      <color rgb="FF1A1A2E"/>
      <name val="Calibri"/>
      <charset val="134"/>
    </font>
    <font>
      <b/>
      <sz val="11"/>
      <color rgb="FF0D2B4A"/>
      <name val="Calibri"/>
      <charset val="134"/>
    </font>
    <font>
      <b/>
      <sz val="10"/>
      <color rgb="FFFFFFFF"/>
      <name val="Calibri"/>
      <charset val="134"/>
    </font>
    <font>
      <sz val="10"/>
      <color rgb="FF0D2B4A"/>
      <name val="Consolas"/>
      <charset val="134"/>
    </font>
    <font>
      <i/>
      <sz val="10"/>
      <color rgb="FF64748B"/>
      <name val="Calibri"/>
      <charset val="134"/>
    </font>
    <font>
      <b/>
      <sz val="10"/>
      <color rgb="FF0D2B4A"/>
      <name val="Consolas"/>
      <charset val="134"/>
    </font>
    <font>
      <b/>
      <sz val="10"/>
      <color rgb="FF0D2B4A"/>
      <name val="Calibri"/>
      <charset val="134"/>
    </font>
    <font>
      <b/>
      <sz val="12"/>
      <color rgb="FF0D2B4A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D2B4A"/>
        <bgColor indexed="64"/>
      </patternFill>
    </fill>
    <fill>
      <patternFill patternType="solid">
        <fgColor rgb="FF1E88E5"/>
        <bgColor indexed="64"/>
      </patternFill>
    </fill>
    <fill>
      <patternFill patternType="solid">
        <fgColor rgb="FFEEF2F6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D2B4A"/>
      </left>
      <right style="thin">
        <color rgb="FF0D2B4A"/>
      </right>
      <top style="thin">
        <color rgb="FF0D2B4A"/>
      </top>
      <bottom style="thin">
        <color rgb="FF0D2B4A"/>
      </bottom>
      <diagonal/>
    </border>
    <border>
      <left style="thin">
        <color rgb="FF1E88E5"/>
      </left>
      <right style="thin">
        <color rgb="FF1E88E5"/>
      </right>
      <top style="thin">
        <color rgb="FF1E88E5"/>
      </top>
      <bottom style="thin">
        <color rgb="FF1E88E5"/>
      </bottom>
      <diagonal/>
    </border>
    <border>
      <left style="thin">
        <color rgb="FF64748B"/>
      </left>
      <right style="thin">
        <color rgb="FF64748B"/>
      </right>
      <top style="thin">
        <color rgb="FF64748B"/>
      </top>
      <bottom style="thin">
        <color rgb="FF64748B"/>
      </bottom>
      <diagonal/>
    </border>
    <border>
      <left style="thin">
        <color rgb="FF43A047"/>
      </left>
      <right style="thin">
        <color rgb="FF43A047"/>
      </right>
      <top style="thin">
        <color rgb="FF43A047"/>
      </top>
      <bottom style="thin">
        <color rgb="FF43A047"/>
      </bottom>
      <diagonal/>
    </border>
    <border>
      <left style="thin">
        <color rgb="FF43A047"/>
      </left>
      <right style="thin">
        <color rgb="FF43A047"/>
      </right>
      <top style="thin">
        <color rgb="FF43A047"/>
      </top>
      <bottom/>
      <diagonal/>
    </border>
    <border>
      <left style="thin">
        <color rgb="FF43A047"/>
      </left>
      <right/>
      <top/>
      <bottom/>
      <diagonal/>
    </border>
    <border>
      <left style="thin">
        <color rgb="FF43A047"/>
      </left>
      <right style="thin">
        <color rgb="FF43A047"/>
      </right>
      <top/>
      <bottom style="thin">
        <color rgb="FF43A047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23" fillId="10" borderId="13" applyNumberFormat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5" fillId="4" borderId="3" xfId="0" applyFont="1" applyFill="1" applyBorder="1" applyAlignment="1">
      <alignment horizontal="left" vertical="center" indent="1"/>
    </xf>
    <xf numFmtId="0" fontId="6" fillId="5" borderId="4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indent="1"/>
    </xf>
    <xf numFmtId="3" fontId="5" fillId="4" borderId="3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10" fillId="0" borderId="3" xfId="0" applyFont="1" applyBorder="1" applyAlignment="1">
      <alignment horizontal="left" vertical="center" indent="1"/>
    </xf>
    <xf numFmtId="3" fontId="6" fillId="5" borderId="4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4" fontId="5" fillId="4" borderId="3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horizontal="left" vertical="top" wrapText="1" indent="1"/>
    </xf>
    <xf numFmtId="0" fontId="6" fillId="5" borderId="4" xfId="0" applyFont="1" applyFill="1" applyBorder="1" applyAlignment="1">
      <alignment vertical="center"/>
    </xf>
    <xf numFmtId="3" fontId="6" fillId="5" borderId="4" xfId="0" applyNumberFormat="1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indent="1"/>
    </xf>
    <xf numFmtId="0" fontId="6" fillId="5" borderId="6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7" xfId="0" applyFont="1" applyFill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left" vertical="center" indent="1"/>
    </xf>
    <xf numFmtId="176" fontId="11" fillId="6" borderId="2" xfId="0" applyNumberFormat="1" applyFont="1" applyFill="1" applyBorder="1" applyAlignment="1">
      <alignment horizontal="left" vertical="center" indent="1"/>
    </xf>
    <xf numFmtId="3" fontId="11" fillId="6" borderId="2" xfId="0" applyNumberFormat="1" applyFont="1" applyFill="1" applyBorder="1" applyAlignment="1">
      <alignment horizontal="right" vertical="center" inden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vertical="center"/>
    </xf>
    <xf numFmtId="3" fontId="11" fillId="6" borderId="2" xfId="0" applyNumberFormat="1" applyFont="1" applyFill="1" applyBorder="1" applyAlignment="1">
      <alignment horizontal="left" vertical="center" indent="1"/>
    </xf>
    <xf numFmtId="3" fontId="11" fillId="6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12" fillId="0" borderId="0" xfId="0" applyFont="1"/>
    <xf numFmtId="0" fontId="4" fillId="6" borderId="2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 indent="1"/>
    </xf>
    <xf numFmtId="0" fontId="4" fillId="5" borderId="4" xfId="0" applyFont="1" applyFill="1" applyBorder="1" applyAlignment="1">
      <alignment horizontal="left" vertical="center" indent="1"/>
    </xf>
    <xf numFmtId="0" fontId="4" fillId="7" borderId="8" xfId="0" applyFont="1" applyFill="1" applyBorder="1" applyAlignment="1">
      <alignment horizontal="left" vertical="center" inden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D2B4A"/>
  </sheetPr>
  <dimension ref="B2:I49"/>
  <sheetViews>
    <sheetView workbookViewId="0">
      <selection activeCell="A1" sqref="A1"/>
    </sheetView>
  </sheetViews>
  <sheetFormatPr defaultColWidth="9" defaultRowHeight="14.4"/>
  <cols>
    <col min="1" max="1" width="3" customWidth="1"/>
    <col min="2" max="2" width="100" customWidth="1"/>
  </cols>
  <sheetData>
    <row r="2" ht="28" customHeight="1" spans="2:9">
      <c r="B2" s="1" t="s">
        <v>0</v>
      </c>
      <c r="C2" s="1"/>
      <c r="D2" s="1"/>
      <c r="E2" s="1"/>
      <c r="F2" s="1"/>
      <c r="G2" s="1"/>
      <c r="H2" s="1"/>
      <c r="I2" s="1"/>
    </row>
    <row r="3" ht="20" customHeight="1" spans="2:9">
      <c r="B3" s="2" t="s">
        <v>1</v>
      </c>
      <c r="C3" s="2"/>
      <c r="D3" s="2"/>
      <c r="E3" s="2"/>
      <c r="F3" s="2"/>
      <c r="G3" s="2"/>
      <c r="H3" s="2"/>
      <c r="I3" s="2"/>
    </row>
    <row r="6" ht="15.6" spans="2:2">
      <c r="B6" s="40" t="s">
        <v>2</v>
      </c>
    </row>
    <row r="8" spans="2:2">
      <c r="B8" t="s">
        <v>3</v>
      </c>
    </row>
    <row r="9" spans="2:2">
      <c r="B9" t="s">
        <v>4</v>
      </c>
    </row>
    <row r="10" spans="2:2">
      <c r="B10" t="s">
        <v>5</v>
      </c>
    </row>
    <row r="11" spans="2:2">
      <c r="B11" t="s">
        <v>6</v>
      </c>
    </row>
    <row r="12" spans="2:2">
      <c r="B12" t="s">
        <v>7</v>
      </c>
    </row>
    <row r="13" spans="2:2">
      <c r="B13" t="s">
        <v>8</v>
      </c>
    </row>
    <row r="14" spans="2:2">
      <c r="B14" t="s">
        <v>9</v>
      </c>
    </row>
    <row r="17" ht="15.6" spans="2:2">
      <c r="B17" s="40" t="s">
        <v>10</v>
      </c>
    </row>
    <row r="19" spans="2:2">
      <c r="B19" s="41" t="s">
        <v>11</v>
      </c>
    </row>
    <row r="20" spans="2:2">
      <c r="B20" s="42" t="s">
        <v>12</v>
      </c>
    </row>
    <row r="21" spans="2:2">
      <c r="B21" s="43" t="s">
        <v>13</v>
      </c>
    </row>
    <row r="22" spans="2:2">
      <c r="B22" s="44" t="s">
        <v>14</v>
      </c>
    </row>
    <row r="25" ht="15.6" spans="2:2">
      <c r="B25" s="40" t="s">
        <v>15</v>
      </c>
    </row>
    <row r="27" spans="2:2">
      <c r="B27" s="15" t="s">
        <v>16</v>
      </c>
    </row>
    <row r="28" spans="2:2">
      <c r="B28" s="15" t="s">
        <v>17</v>
      </c>
    </row>
    <row r="29" ht="27.6" spans="2:2">
      <c r="B29" s="15" t="s">
        <v>18</v>
      </c>
    </row>
    <row r="30" spans="2:2">
      <c r="B30" s="15" t="s">
        <v>19</v>
      </c>
    </row>
    <row r="31" spans="2:2">
      <c r="B31" s="15" t="s">
        <v>20</v>
      </c>
    </row>
    <row r="32" ht="27.6" spans="2:2">
      <c r="B32" s="15" t="s">
        <v>21</v>
      </c>
    </row>
    <row r="35" ht="15.6" spans="2:2">
      <c r="B35" s="40" t="s">
        <v>22</v>
      </c>
    </row>
    <row r="37" spans="2:2">
      <c r="B37" t="s">
        <v>23</v>
      </c>
    </row>
    <row r="38" spans="2:2">
      <c r="B38" t="s">
        <v>24</v>
      </c>
    </row>
    <row r="39" spans="2:2">
      <c r="B39" t="s">
        <v>25</v>
      </c>
    </row>
    <row r="40" spans="2:2">
      <c r="B40" t="s">
        <v>26</v>
      </c>
    </row>
    <row r="43" ht="15.6" spans="2:2">
      <c r="B43" s="40" t="s">
        <v>27</v>
      </c>
    </row>
    <row r="45" spans="2:2">
      <c r="B45" t="s">
        <v>28</v>
      </c>
    </row>
    <row r="46" spans="2:2">
      <c r="B46" t="s">
        <v>29</v>
      </c>
    </row>
    <row r="49" spans="2:2">
      <c r="B49" s="10" t="s">
        <v>30</v>
      </c>
    </row>
  </sheetData>
  <mergeCells count="2">
    <mergeCell ref="B2:I2"/>
    <mergeCell ref="B3:I3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4748B"/>
  </sheetPr>
  <dimension ref="A1:M16"/>
  <sheetViews>
    <sheetView workbookViewId="0">
      <selection activeCell="A1" sqref="A1"/>
    </sheetView>
  </sheetViews>
  <sheetFormatPr defaultColWidth="9" defaultRowHeight="14.4"/>
  <cols>
    <col min="1" max="1" width="24" customWidth="1"/>
    <col min="2" max="3" width="12" customWidth="1"/>
    <col min="4" max="4" width="16" customWidth="1"/>
    <col min="5" max="5" width="10" customWidth="1"/>
    <col min="6" max="6" width="3" customWidth="1"/>
    <col min="7" max="7" width="14" customWidth="1"/>
    <col min="8" max="8" width="3" customWidth="1"/>
    <col min="9" max="9" width="14" customWidth="1"/>
    <col min="10" max="10" width="3" customWidth="1"/>
    <col min="11" max="11" width="8" customWidth="1"/>
    <col min="12" max="12" width="3" customWidth="1"/>
    <col min="13" max="13" width="14" customWidth="1"/>
  </cols>
  <sheetData>
    <row r="1" s="38" customFormat="1" ht="13.8" spans="1:13">
      <c r="A1" s="39" t="s">
        <v>31</v>
      </c>
      <c r="B1" s="39" t="s">
        <v>32</v>
      </c>
      <c r="C1" s="39" t="s">
        <v>33</v>
      </c>
      <c r="D1" s="39" t="s">
        <v>34</v>
      </c>
      <c r="E1" s="39" t="s">
        <v>35</v>
      </c>
      <c r="G1" s="39" t="s">
        <v>36</v>
      </c>
      <c r="I1" s="39" t="s">
        <v>37</v>
      </c>
      <c r="K1" s="39" t="s">
        <v>38</v>
      </c>
      <c r="M1" s="39" t="s">
        <v>39</v>
      </c>
    </row>
    <row r="2" spans="1:13">
      <c r="A2" t="s">
        <v>40</v>
      </c>
      <c r="B2" t="s">
        <v>41</v>
      </c>
      <c r="C2">
        <v>850</v>
      </c>
      <c r="D2" t="s">
        <v>42</v>
      </c>
      <c r="E2">
        <v>5000</v>
      </c>
      <c r="G2" t="s">
        <v>41</v>
      </c>
      <c r="I2" t="s">
        <v>43</v>
      </c>
      <c r="K2" t="s">
        <v>44</v>
      </c>
      <c r="M2" t="s">
        <v>45</v>
      </c>
    </row>
    <row r="3" spans="1:13">
      <c r="A3" t="s">
        <v>46</v>
      </c>
      <c r="B3" t="s">
        <v>41</v>
      </c>
      <c r="C3">
        <v>600</v>
      </c>
      <c r="D3" t="s">
        <v>47</v>
      </c>
      <c r="E3">
        <v>1080</v>
      </c>
      <c r="G3" t="s">
        <v>48</v>
      </c>
      <c r="I3" t="s">
        <v>49</v>
      </c>
      <c r="K3" t="s">
        <v>50</v>
      </c>
      <c r="M3" t="s">
        <v>51</v>
      </c>
    </row>
    <row r="4" spans="1:13">
      <c r="A4" t="s">
        <v>52</v>
      </c>
      <c r="B4" t="s">
        <v>41</v>
      </c>
      <c r="C4">
        <v>900</v>
      </c>
      <c r="D4" t="s">
        <v>47</v>
      </c>
      <c r="E4">
        <v>1202</v>
      </c>
      <c r="G4" t="s">
        <v>53</v>
      </c>
      <c r="M4" t="s">
        <v>54</v>
      </c>
    </row>
    <row r="5" spans="1:7">
      <c r="A5" t="s">
        <v>55</v>
      </c>
      <c r="B5" t="s">
        <v>41</v>
      </c>
      <c r="C5">
        <v>750</v>
      </c>
      <c r="D5" t="s">
        <v>56</v>
      </c>
      <c r="E5">
        <v>22</v>
      </c>
      <c r="G5" t="s">
        <v>57</v>
      </c>
    </row>
    <row r="6" spans="1:7">
      <c r="A6" t="s">
        <v>58</v>
      </c>
      <c r="B6" t="s">
        <v>41</v>
      </c>
      <c r="C6">
        <v>500</v>
      </c>
      <c r="D6" t="s">
        <v>59</v>
      </c>
      <c r="E6">
        <v>7000</v>
      </c>
      <c r="G6" t="s">
        <v>60</v>
      </c>
    </row>
    <row r="7" spans="1:5">
      <c r="A7" t="s">
        <v>61</v>
      </c>
      <c r="B7" t="s">
        <v>41</v>
      </c>
      <c r="C7">
        <v>450</v>
      </c>
      <c r="D7" t="s">
        <v>59</v>
      </c>
      <c r="E7">
        <v>1080</v>
      </c>
    </row>
    <row r="8" spans="1:5">
      <c r="A8" t="s">
        <v>62</v>
      </c>
      <c r="B8" t="s">
        <v>48</v>
      </c>
      <c r="C8">
        <v>700</v>
      </c>
      <c r="D8" t="s">
        <v>59</v>
      </c>
      <c r="E8">
        <v>5001</v>
      </c>
    </row>
    <row r="9" spans="1:5">
      <c r="A9" t="s">
        <v>63</v>
      </c>
      <c r="B9" t="s">
        <v>48</v>
      </c>
      <c r="C9">
        <v>650</v>
      </c>
      <c r="D9" t="s">
        <v>42</v>
      </c>
      <c r="E9">
        <v>5000</v>
      </c>
    </row>
    <row r="10" spans="1:5">
      <c r="A10" t="s">
        <v>64</v>
      </c>
      <c r="B10" t="s">
        <v>53</v>
      </c>
      <c r="C10">
        <v>1200</v>
      </c>
      <c r="D10" t="s">
        <v>56</v>
      </c>
      <c r="E10">
        <v>22</v>
      </c>
    </row>
    <row r="11" spans="1:5">
      <c r="A11" t="s">
        <v>65</v>
      </c>
      <c r="B11" t="s">
        <v>53</v>
      </c>
      <c r="C11">
        <v>400</v>
      </c>
      <c r="D11" t="s">
        <v>59</v>
      </c>
      <c r="E11">
        <v>514</v>
      </c>
    </row>
    <row r="12" spans="1:5">
      <c r="A12" t="s">
        <v>66</v>
      </c>
      <c r="B12" t="s">
        <v>57</v>
      </c>
      <c r="C12">
        <v>550</v>
      </c>
      <c r="D12" t="s">
        <v>59</v>
      </c>
      <c r="E12">
        <v>2533</v>
      </c>
    </row>
    <row r="13" spans="1:5">
      <c r="A13" t="s">
        <v>67</v>
      </c>
      <c r="B13" t="s">
        <v>57</v>
      </c>
      <c r="C13">
        <v>350</v>
      </c>
      <c r="D13" t="s">
        <v>59</v>
      </c>
      <c r="E13">
        <v>2533</v>
      </c>
    </row>
    <row r="14" spans="1:5">
      <c r="A14" t="s">
        <v>68</v>
      </c>
      <c r="B14" t="s">
        <v>57</v>
      </c>
      <c r="C14">
        <v>550</v>
      </c>
      <c r="D14" t="s">
        <v>59</v>
      </c>
      <c r="E14">
        <v>2533</v>
      </c>
    </row>
    <row r="15" spans="1:5">
      <c r="A15" t="s">
        <v>69</v>
      </c>
      <c r="B15" t="s">
        <v>57</v>
      </c>
      <c r="C15">
        <v>550</v>
      </c>
      <c r="D15" t="s">
        <v>59</v>
      </c>
      <c r="E15">
        <v>2533</v>
      </c>
    </row>
    <row r="16" spans="1:5">
      <c r="A16" t="s">
        <v>70</v>
      </c>
      <c r="B16" t="s">
        <v>60</v>
      </c>
      <c r="C16">
        <v>850</v>
      </c>
      <c r="D16" t="s">
        <v>59</v>
      </c>
      <c r="E16">
        <v>5000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E88E5"/>
  </sheetPr>
  <dimension ref="B1:I77"/>
  <sheetViews>
    <sheetView showGridLines="0" tabSelected="1" view="pageLayout" zoomScaleNormal="100" topLeftCell="A13" workbookViewId="0">
      <selection activeCell="H16" sqref="H16"/>
    </sheetView>
  </sheetViews>
  <sheetFormatPr defaultColWidth="9" defaultRowHeight="14.4"/>
  <cols>
    <col min="1" max="1" width="3" customWidth="1"/>
    <col min="2" max="2" width="4" customWidth="1"/>
    <col min="3" max="3" width="26.3333333333333" customWidth="1"/>
    <col min="4" max="4" width="16.3333333333333" customWidth="1"/>
    <col min="5" max="5" width="22.1111111111111" customWidth="1"/>
    <col min="6" max="6" width="6.48148148148148" customWidth="1"/>
    <col min="7" max="7" width="8.18518518518519" style="25" customWidth="1"/>
    <col min="8" max="8" width="8.61111111111111" style="25" customWidth="1"/>
    <col min="9" max="9" width="9.03703703703704" style="25" customWidth="1"/>
  </cols>
  <sheetData>
    <row r="1" ht="28" customHeight="1" spans="2:9">
      <c r="B1" s="1" t="s">
        <v>71</v>
      </c>
      <c r="C1" s="1"/>
      <c r="D1" s="1"/>
      <c r="E1" s="1"/>
      <c r="F1" s="1"/>
      <c r="G1" s="26"/>
      <c r="H1" s="26"/>
      <c r="I1" s="26"/>
    </row>
    <row r="2" ht="20" customHeight="1" spans="2:9">
      <c r="B2" s="2" t="s">
        <v>72</v>
      </c>
      <c r="C2" s="2"/>
      <c r="D2" s="2"/>
      <c r="E2" s="2"/>
      <c r="F2" s="2"/>
      <c r="G2" s="27"/>
      <c r="H2" s="27"/>
      <c r="I2" s="27"/>
    </row>
    <row r="3" ht="22" customHeight="1" spans="2:9">
      <c r="B3" s="3" t="s">
        <v>73</v>
      </c>
      <c r="C3" s="3"/>
      <c r="D3" s="3"/>
      <c r="E3" s="3"/>
      <c r="F3" s="3"/>
      <c r="G3" s="28"/>
      <c r="H3" s="28"/>
      <c r="I3" s="28"/>
    </row>
    <row r="5" spans="3:6">
      <c r="C5" s="4" t="s">
        <v>74</v>
      </c>
      <c r="D5" s="29"/>
      <c r="E5" s="29"/>
      <c r="F5" s="29"/>
    </row>
    <row r="6" spans="3:6">
      <c r="C6" s="4" t="s">
        <v>75</v>
      </c>
      <c r="D6" s="29"/>
      <c r="E6" s="29"/>
      <c r="F6" s="29"/>
    </row>
    <row r="7" spans="3:6">
      <c r="C7" s="4" t="s">
        <v>76</v>
      </c>
      <c r="D7" s="29"/>
      <c r="E7" s="29"/>
      <c r="F7" s="29"/>
    </row>
    <row r="8" spans="3:6">
      <c r="C8" s="4" t="s">
        <v>77</v>
      </c>
      <c r="D8" s="29"/>
      <c r="E8" s="29"/>
      <c r="F8" s="29"/>
    </row>
    <row r="9" spans="3:6">
      <c r="C9" s="4" t="s">
        <v>78</v>
      </c>
      <c r="D9" s="30">
        <v>46241.0043851505</v>
      </c>
      <c r="E9" s="30"/>
      <c r="F9" s="30"/>
    </row>
    <row r="11" ht="22" customHeight="1" spans="2:9">
      <c r="B11" s="3" t="s">
        <v>79</v>
      </c>
      <c r="C11" s="3"/>
      <c r="D11" s="3"/>
      <c r="E11" s="3"/>
      <c r="F11" s="3"/>
      <c r="G11" s="28"/>
      <c r="H11" s="28"/>
      <c r="I11" s="28"/>
    </row>
    <row r="13" spans="3:4">
      <c r="C13" s="4" t="s">
        <v>80</v>
      </c>
      <c r="D13" s="31">
        <v>1</v>
      </c>
    </row>
    <row r="15" ht="27.6" spans="2:9">
      <c r="B15" s="7" t="s">
        <v>81</v>
      </c>
      <c r="C15" s="32" t="s">
        <v>82</v>
      </c>
      <c r="D15" s="32" t="s">
        <v>83</v>
      </c>
      <c r="E15" s="32" t="s">
        <v>31</v>
      </c>
      <c r="F15" s="33" t="s">
        <v>84</v>
      </c>
      <c r="G15" s="33" t="s">
        <v>85</v>
      </c>
      <c r="H15" s="33" t="s">
        <v>86</v>
      </c>
      <c r="I15" s="33" t="s">
        <v>34</v>
      </c>
    </row>
    <row r="16" spans="2:9">
      <c r="B16" s="4">
        <v>1</v>
      </c>
      <c r="C16" s="34" t="s">
        <v>87</v>
      </c>
      <c r="D16" s="34" t="s">
        <v>41</v>
      </c>
      <c r="E16" s="34" t="s">
        <v>40</v>
      </c>
      <c r="F16" s="35">
        <v>2</v>
      </c>
      <c r="G16" s="36">
        <v>500</v>
      </c>
      <c r="H16" s="36">
        <v>5</v>
      </c>
      <c r="I16" s="37" t="s">
        <v>42</v>
      </c>
    </row>
    <row r="17" spans="2:9">
      <c r="B17" s="4">
        <v>2</v>
      </c>
      <c r="C17" s="34"/>
      <c r="D17" s="34"/>
      <c r="E17" s="34"/>
      <c r="F17" s="35"/>
      <c r="G17" s="36"/>
      <c r="H17" s="36"/>
      <c r="I17" s="37"/>
    </row>
    <row r="18" spans="2:9">
      <c r="B18" s="4">
        <v>3</v>
      </c>
      <c r="C18" s="34"/>
      <c r="D18" s="34"/>
      <c r="E18" s="34"/>
      <c r="F18" s="35"/>
      <c r="G18" s="36"/>
      <c r="H18" s="36"/>
      <c r="I18" s="37"/>
    </row>
    <row r="19" spans="2:9">
      <c r="B19" s="4">
        <v>4</v>
      </c>
      <c r="C19" s="34"/>
      <c r="D19" s="34"/>
      <c r="E19" s="34"/>
      <c r="F19" s="35"/>
      <c r="G19" s="36"/>
      <c r="H19" s="36"/>
      <c r="I19" s="37"/>
    </row>
    <row r="20" spans="2:9">
      <c r="B20" s="4">
        <v>5</v>
      </c>
      <c r="C20" s="34"/>
      <c r="D20" s="34"/>
      <c r="E20" s="34"/>
      <c r="F20" s="35"/>
      <c r="G20" s="36"/>
      <c r="H20" s="36"/>
      <c r="I20" s="37"/>
    </row>
    <row r="21" spans="2:9">
      <c r="B21" s="4">
        <v>6</v>
      </c>
      <c r="C21" s="34"/>
      <c r="D21" s="34"/>
      <c r="E21" s="34"/>
      <c r="F21" s="35"/>
      <c r="G21" s="36"/>
      <c r="H21" s="36"/>
      <c r="I21" s="37"/>
    </row>
    <row r="22" spans="2:9">
      <c r="B22" s="4">
        <v>7</v>
      </c>
      <c r="C22" s="34"/>
      <c r="D22" s="34"/>
      <c r="E22" s="34"/>
      <c r="F22" s="35"/>
      <c r="G22" s="36"/>
      <c r="H22" s="36"/>
      <c r="I22" s="37"/>
    </row>
    <row r="23" spans="2:9">
      <c r="B23" s="4">
        <v>8</v>
      </c>
      <c r="C23" s="34"/>
      <c r="D23" s="34"/>
      <c r="E23" s="34"/>
      <c r="F23" s="35"/>
      <c r="G23" s="36"/>
      <c r="H23" s="36"/>
      <c r="I23" s="37"/>
    </row>
    <row r="24" spans="2:9">
      <c r="B24" s="4">
        <v>9</v>
      </c>
      <c r="C24" s="34"/>
      <c r="D24" s="34"/>
      <c r="E24" s="34"/>
      <c r="F24" s="35"/>
      <c r="G24" s="36"/>
      <c r="H24" s="36"/>
      <c r="I24" s="37"/>
    </row>
    <row r="25" spans="2:9">
      <c r="B25" s="4">
        <v>10</v>
      </c>
      <c r="C25" s="34"/>
      <c r="D25" s="34"/>
      <c r="E25" s="34"/>
      <c r="F25" s="35"/>
      <c r="G25" s="36"/>
      <c r="H25" s="36"/>
      <c r="I25" s="37"/>
    </row>
    <row r="26" spans="2:9">
      <c r="B26" s="4">
        <v>11</v>
      </c>
      <c r="C26" s="34"/>
      <c r="D26" s="34"/>
      <c r="E26" s="34"/>
      <c r="F26" s="35"/>
      <c r="G26" s="36"/>
      <c r="H26" s="36"/>
      <c r="I26" s="37"/>
    </row>
    <row r="27" spans="2:9">
      <c r="B27" s="4">
        <v>12</v>
      </c>
      <c r="C27" s="34"/>
      <c r="D27" s="34"/>
      <c r="E27" s="34"/>
      <c r="F27" s="35"/>
      <c r="G27" s="36"/>
      <c r="H27" s="36"/>
      <c r="I27" s="37"/>
    </row>
    <row r="28" spans="2:9">
      <c r="B28" s="4">
        <v>13</v>
      </c>
      <c r="C28" s="34"/>
      <c r="D28" s="34"/>
      <c r="E28" s="34"/>
      <c r="F28" s="35"/>
      <c r="G28" s="36"/>
      <c r="H28" s="36"/>
      <c r="I28" s="37"/>
    </row>
    <row r="29" spans="2:9">
      <c r="B29" s="4">
        <v>14</v>
      </c>
      <c r="C29" s="34"/>
      <c r="D29" s="34"/>
      <c r="E29" s="34"/>
      <c r="F29" s="35"/>
      <c r="G29" s="36"/>
      <c r="H29" s="36"/>
      <c r="I29" s="37"/>
    </row>
    <row r="30" spans="2:9">
      <c r="B30" s="4">
        <v>15</v>
      </c>
      <c r="C30" s="34"/>
      <c r="D30" s="34"/>
      <c r="E30" s="34"/>
      <c r="F30" s="35"/>
      <c r="G30" s="36"/>
      <c r="H30" s="36"/>
      <c r="I30" s="37"/>
    </row>
    <row r="31" spans="2:9">
      <c r="B31" s="4">
        <v>16</v>
      </c>
      <c r="C31" s="34"/>
      <c r="D31" s="34"/>
      <c r="E31" s="34"/>
      <c r="F31" s="35"/>
      <c r="G31" s="36"/>
      <c r="H31" s="36"/>
      <c r="I31" s="37"/>
    </row>
    <row r="32" spans="2:9">
      <c r="B32" s="4">
        <v>17</v>
      </c>
      <c r="C32" s="34"/>
      <c r="D32" s="34"/>
      <c r="E32" s="34"/>
      <c r="F32" s="35"/>
      <c r="G32" s="36"/>
      <c r="H32" s="36"/>
      <c r="I32" s="37"/>
    </row>
    <row r="33" spans="2:9">
      <c r="B33" s="4">
        <v>18</v>
      </c>
      <c r="C33" s="34"/>
      <c r="D33" s="34"/>
      <c r="E33" s="34"/>
      <c r="F33" s="35"/>
      <c r="G33" s="36"/>
      <c r="H33" s="36"/>
      <c r="I33" s="37"/>
    </row>
    <row r="34" spans="2:9">
      <c r="B34" s="4">
        <v>19</v>
      </c>
      <c r="C34" s="34"/>
      <c r="D34" s="34"/>
      <c r="E34" s="34"/>
      <c r="F34" s="35"/>
      <c r="G34" s="36"/>
      <c r="H34" s="36"/>
      <c r="I34" s="37"/>
    </row>
    <row r="35" spans="2:9">
      <c r="B35" s="4">
        <v>20</v>
      </c>
      <c r="C35" s="34"/>
      <c r="D35" s="34"/>
      <c r="E35" s="34"/>
      <c r="F35" s="35"/>
      <c r="G35" s="36"/>
      <c r="H35" s="36"/>
      <c r="I35" s="37"/>
    </row>
    <row r="37" ht="22" customHeight="1" spans="2:9">
      <c r="B37" s="3" t="s">
        <v>88</v>
      </c>
      <c r="C37" s="3"/>
      <c r="D37" s="3"/>
      <c r="E37" s="3"/>
      <c r="F37" s="3"/>
      <c r="G37" s="28"/>
      <c r="H37" s="28"/>
      <c r="I37" s="28"/>
    </row>
    <row r="39" spans="3:4">
      <c r="C39" s="4" t="s">
        <v>89</v>
      </c>
      <c r="D39" s="36">
        <v>24</v>
      </c>
    </row>
    <row r="40" spans="3:4">
      <c r="C40" s="4" t="s">
        <v>90</v>
      </c>
      <c r="D40" s="36">
        <v>6</v>
      </c>
    </row>
    <row r="41" spans="3:4">
      <c r="C41" s="4" t="s">
        <v>91</v>
      </c>
      <c r="D41" s="37" t="s">
        <v>92</v>
      </c>
    </row>
    <row r="42" spans="3:4">
      <c r="C42" s="4" t="s">
        <v>93</v>
      </c>
      <c r="D42" s="36">
        <v>7</v>
      </c>
    </row>
    <row r="43" spans="3:4">
      <c r="C43" s="4" t="s">
        <v>94</v>
      </c>
      <c r="D43" s="37" t="s">
        <v>95</v>
      </c>
    </row>
    <row r="45" ht="22" customHeight="1" spans="2:9">
      <c r="B45" s="3" t="s">
        <v>96</v>
      </c>
      <c r="C45" s="3"/>
      <c r="D45" s="3"/>
      <c r="E45" s="3"/>
      <c r="F45" s="3"/>
      <c r="G45" s="28"/>
      <c r="H45" s="28"/>
      <c r="I45" s="28"/>
    </row>
    <row r="47" spans="3:4">
      <c r="C47" s="4" t="s">
        <v>97</v>
      </c>
      <c r="D47" s="37" t="s">
        <v>44</v>
      </c>
    </row>
    <row r="48" spans="3:4">
      <c r="C48" s="4" t="s">
        <v>98</v>
      </c>
      <c r="D48" s="36">
        <v>2</v>
      </c>
    </row>
    <row r="50" ht="22" customHeight="1" spans="2:9">
      <c r="B50" s="3" t="s">
        <v>99</v>
      </c>
      <c r="C50" s="3"/>
      <c r="D50" s="3"/>
      <c r="E50" s="3"/>
      <c r="F50" s="3"/>
      <c r="G50" s="28"/>
      <c r="H50" s="28"/>
      <c r="I50" s="28"/>
    </row>
    <row r="52" spans="3:4">
      <c r="C52" s="4" t="s">
        <v>100</v>
      </c>
      <c r="D52" s="36">
        <v>5</v>
      </c>
    </row>
    <row r="53" spans="3:4">
      <c r="C53" s="4" t="s">
        <v>101</v>
      </c>
      <c r="D53" s="36">
        <v>5</v>
      </c>
    </row>
    <row r="55" ht="22" customHeight="1" spans="2:9">
      <c r="B55" s="3" t="s">
        <v>102</v>
      </c>
      <c r="C55" s="3"/>
      <c r="D55" s="3"/>
      <c r="E55" s="3"/>
      <c r="F55" s="3"/>
      <c r="G55" s="28"/>
      <c r="H55" s="28"/>
      <c r="I55" s="28"/>
    </row>
    <row r="57" spans="3:4">
      <c r="C57" s="4" t="s">
        <v>103</v>
      </c>
      <c r="D57" s="37" t="s">
        <v>44</v>
      </c>
    </row>
    <row r="58" spans="3:4">
      <c r="C58" s="4" t="s">
        <v>104</v>
      </c>
      <c r="D58" s="36">
        <v>5</v>
      </c>
    </row>
    <row r="60" ht="22" customHeight="1" spans="2:9">
      <c r="B60" s="3" t="s">
        <v>105</v>
      </c>
      <c r="C60" s="3"/>
      <c r="D60" s="3"/>
      <c r="E60" s="3"/>
      <c r="F60" s="3"/>
      <c r="G60" s="28"/>
      <c r="H60" s="28"/>
      <c r="I60" s="28"/>
    </row>
    <row r="62" spans="3:4">
      <c r="C62" s="4" t="s">
        <v>106</v>
      </c>
      <c r="D62" s="29" t="s">
        <v>43</v>
      </c>
    </row>
    <row r="64" ht="22" customHeight="1" spans="2:9">
      <c r="B64" s="3" t="s">
        <v>107</v>
      </c>
      <c r="C64" s="3"/>
      <c r="D64" s="3"/>
      <c r="E64" s="3"/>
      <c r="F64" s="3"/>
      <c r="G64" s="28"/>
      <c r="H64" s="28"/>
      <c r="I64" s="28"/>
    </row>
    <row r="66" spans="3:4">
      <c r="C66" s="4" t="s">
        <v>108</v>
      </c>
      <c r="D66" s="29" t="s">
        <v>51</v>
      </c>
    </row>
    <row r="68" ht="22" customHeight="1" spans="2:9">
      <c r="B68" s="3" t="s">
        <v>109</v>
      </c>
      <c r="C68" s="3"/>
      <c r="D68" s="3"/>
      <c r="E68" s="3"/>
      <c r="F68" s="3"/>
      <c r="G68" s="28"/>
      <c r="H68" s="28"/>
      <c r="I68" s="28"/>
    </row>
    <row r="70" spans="3:4">
      <c r="C70" s="4" t="s">
        <v>110</v>
      </c>
      <c r="D70" s="36">
        <v>22</v>
      </c>
    </row>
    <row r="71" spans="3:4">
      <c r="C71" s="4" t="s">
        <v>111</v>
      </c>
      <c r="D71" s="36">
        <v>850</v>
      </c>
    </row>
    <row r="72" spans="3:4">
      <c r="C72" s="4" t="s">
        <v>112</v>
      </c>
      <c r="D72" s="36">
        <v>250</v>
      </c>
    </row>
    <row r="73" spans="3:4">
      <c r="C73" s="4" t="s">
        <v>113</v>
      </c>
      <c r="D73" s="36">
        <v>30</v>
      </c>
    </row>
    <row r="74" spans="3:4">
      <c r="C74" s="4" t="s">
        <v>114</v>
      </c>
      <c r="D74" s="36">
        <v>1.3</v>
      </c>
    </row>
    <row r="75" spans="3:4">
      <c r="C75" s="4" t="s">
        <v>115</v>
      </c>
      <c r="D75" s="36">
        <v>8</v>
      </c>
    </row>
    <row r="76" spans="3:4">
      <c r="C76" s="4" t="s">
        <v>116</v>
      </c>
      <c r="D76" s="36">
        <v>2</v>
      </c>
    </row>
    <row r="77" spans="3:4">
      <c r="C77" s="4" t="s">
        <v>117</v>
      </c>
      <c r="D77" s="36">
        <v>30</v>
      </c>
    </row>
  </sheetData>
  <mergeCells count="16">
    <mergeCell ref="B1:I1"/>
    <mergeCell ref="B2:I2"/>
    <mergeCell ref="B3:I3"/>
    <mergeCell ref="D5:F5"/>
    <mergeCell ref="D6:F6"/>
    <mergeCell ref="D7:F7"/>
    <mergeCell ref="D8:F8"/>
    <mergeCell ref="D9:F9"/>
    <mergeCell ref="B11:I11"/>
    <mergeCell ref="B37:I37"/>
    <mergeCell ref="B45:I45"/>
    <mergeCell ref="B50:I50"/>
    <mergeCell ref="B55:I55"/>
    <mergeCell ref="B60:I60"/>
    <mergeCell ref="B64:I64"/>
    <mergeCell ref="B68:I68"/>
  </mergeCells>
  <dataValidations count="6">
    <dataValidation type="list" allowBlank="1" sqref="D47 D57">
      <formula1>"Yes,No"</formula1>
    </dataValidation>
    <dataValidation type="list" allowBlank="1" sqref="D62">
      <formula1>"PostgreSQL,SQL Server"</formula1>
    </dataValidation>
    <dataValidation type="list" allowBlank="1" sqref="D66">
      <formula1>"None,Standard,Premium"</formula1>
    </dataValidation>
    <dataValidation type="list" allowBlank="1" sqref="D16:D35">
      <formula1>VendorList</formula1>
    </dataValidation>
    <dataValidation type="list" allowBlank="1" sqref="E16:E35">
      <formula1>PbxModelList</formula1>
    </dataValidation>
    <dataValidation type="list" allowBlank="1" sqref="I16:I35">
      <formula1>"TCP Push,TCP Pull,SFTP"</formula1>
    </dataValidation>
  </dataValidations>
  <pageMargins left="0.25" right="0.25" top="0.75" bottom="0.75" header="0.298611111111111" footer="0.298611111111111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3A047"/>
  </sheetPr>
  <dimension ref="B1:I59"/>
  <sheetViews>
    <sheetView showGridLines="0" workbookViewId="0">
      <selection activeCell="B1" sqref="B1:I1"/>
    </sheetView>
  </sheetViews>
  <sheetFormatPr defaultColWidth="9" defaultRowHeight="14.4"/>
  <cols>
    <col min="1" max="1" width="3" customWidth="1"/>
    <col min="2" max="2" width="34" customWidth="1"/>
    <col min="3" max="7" width="16" customWidth="1"/>
    <col min="8" max="8" width="20" customWidth="1"/>
  </cols>
  <sheetData>
    <row r="1" ht="28" customHeight="1" spans="2:9">
      <c r="B1" s="1" t="s">
        <v>118</v>
      </c>
      <c r="C1" s="1"/>
      <c r="D1" s="1"/>
      <c r="E1" s="1"/>
      <c r="F1" s="1"/>
      <c r="G1" s="1"/>
      <c r="H1" s="1"/>
      <c r="I1" s="1"/>
    </row>
    <row r="2" ht="20" customHeight="1" spans="2:9">
      <c r="B2" s="2" t="s">
        <v>119</v>
      </c>
      <c r="C2" s="2"/>
      <c r="D2" s="2"/>
      <c r="E2" s="2"/>
      <c r="F2" s="2"/>
      <c r="G2" s="2"/>
      <c r="H2" s="2"/>
      <c r="I2" s="2"/>
    </row>
    <row r="3" ht="22" customHeight="1" spans="2:9">
      <c r="B3" s="3" t="s">
        <v>120</v>
      </c>
      <c r="C3" s="3"/>
      <c r="D3" s="3"/>
      <c r="E3" s="3"/>
      <c r="F3" s="3"/>
      <c r="G3" s="3"/>
      <c r="H3" s="3"/>
      <c r="I3" s="3"/>
    </row>
    <row r="5" spans="2:3">
      <c r="B5" s="4" t="s">
        <v>121</v>
      </c>
      <c r="C5" s="9">
        <f>SUM(ExtRange)</f>
        <v>500</v>
      </c>
    </row>
    <row r="6" spans="2:3">
      <c r="B6" s="4" t="s">
        <v>122</v>
      </c>
      <c r="C6" s="9">
        <f>SUM(PbxRange)</f>
        <v>2</v>
      </c>
    </row>
    <row r="7" spans="2:3">
      <c r="B7" s="4" t="s">
        <v>123</v>
      </c>
      <c r="C7" s="9">
        <f>COUNTIF(ExtRange,"&gt;0")</f>
        <v>1</v>
      </c>
    </row>
    <row r="8" spans="2:3">
      <c r="B8" s="4" t="s">
        <v>124</v>
      </c>
      <c r="C8" s="9">
        <f>SUMPRODUCT(ExtRange,(CallsPerExtRange&gt;0)*CallsPerExtRange+(CallsPerExtRange=0)*CallsPerExtDefault)</f>
        <v>2500</v>
      </c>
    </row>
    <row r="9" spans="2:3">
      <c r="B9" s="4" t="s">
        <v>125</v>
      </c>
      <c r="C9" s="9">
        <f>C8*WorkingDaysPerMonth</f>
        <v>55000</v>
      </c>
    </row>
    <row r="10" spans="2:3">
      <c r="B10" s="4" t="s">
        <v>126</v>
      </c>
      <c r="C10" s="9">
        <f>C9*12</f>
        <v>660000</v>
      </c>
    </row>
    <row r="12" ht="22" customHeight="1" spans="2:9">
      <c r="B12" s="3" t="s">
        <v>127</v>
      </c>
      <c r="C12" s="3"/>
      <c r="D12" s="3"/>
      <c r="E12" s="3"/>
      <c r="F12" s="3"/>
      <c r="G12" s="3"/>
      <c r="H12" s="3"/>
      <c r="I12" s="3"/>
    </row>
    <row r="14" spans="2:7">
      <c r="B14" s="7" t="s">
        <v>128</v>
      </c>
      <c r="C14" s="7" t="s">
        <v>129</v>
      </c>
      <c r="D14" s="7" t="s">
        <v>130</v>
      </c>
      <c r="E14" s="7" t="s">
        <v>131</v>
      </c>
      <c r="F14" s="7" t="s">
        <v>132</v>
      </c>
      <c r="G14" s="7" t="s">
        <v>133</v>
      </c>
    </row>
    <row r="15" spans="2:7">
      <c r="B15" s="4" t="s">
        <v>134</v>
      </c>
      <c r="C15" s="9">
        <f>C9*6</f>
        <v>330000</v>
      </c>
      <c r="D15" s="14">
        <f>(C15*AvgCallRecordBytes)/(1024*1024*1024)*1.35*DbOverheadFactor</f>
        <v>0.458469148725271</v>
      </c>
      <c r="E15" s="14">
        <f>COUNTIF(ExtRange,"&gt;0")*ReportsPerSiteMonth*(AvgReportFileKb/1024/1024)*MIN(6,ReportRetentionMonths)</f>
        <v>0.0429153442382813</v>
      </c>
      <c r="F15" s="14">
        <f>D15*0.4*BackupCopies</f>
        <v>1.28371361643076</v>
      </c>
      <c r="G15" s="14">
        <f>(OsAppInstallGb+DbBaseGb+D15+E15+F15)*1.2</f>
        <v>14.1421177312732</v>
      </c>
    </row>
    <row r="16" spans="2:7">
      <c r="B16" s="4" t="s">
        <v>135</v>
      </c>
      <c r="C16" s="9">
        <f>C9*12</f>
        <v>660000</v>
      </c>
      <c r="D16" s="14">
        <f>(C16*AvgCallRecordBytes)/(1024*1024*1024)*1.35*DbOverheadFactor</f>
        <v>0.916938297450542</v>
      </c>
      <c r="E16" s="14">
        <f>COUNTIF(ExtRange,"&gt;0")*ReportsPerSiteMonth*(AvgReportFileKb/1024/1024)*MIN(12,ReportRetentionMonths)</f>
        <v>0.0429153442382813</v>
      </c>
      <c r="F16" s="14">
        <f>D16*0.4*BackupCopies</f>
        <v>2.56742723286152</v>
      </c>
      <c r="G16" s="14">
        <f>(OsAppInstallGb+DbBaseGb+D16+E16+F16)*1.2</f>
        <v>16.2327370494604</v>
      </c>
    </row>
    <row r="17" spans="2:7">
      <c r="B17" s="4" t="s">
        <v>136</v>
      </c>
      <c r="C17" s="9">
        <f>C9*18</f>
        <v>990000</v>
      </c>
      <c r="D17" s="14">
        <f>(C17*AvgCallRecordBytes)/(1024*1024*1024)*1.35*DbOverheadFactor</f>
        <v>1.37540744617581</v>
      </c>
      <c r="E17" s="14">
        <f>COUNTIF(ExtRange,"&gt;0")*ReportsPerSiteMonth*(AvgReportFileKb/1024/1024)*MIN(18,ReportRetentionMonths)</f>
        <v>0.0429153442382813</v>
      </c>
      <c r="F17" s="14">
        <f>D17*0.4*BackupCopies</f>
        <v>3.85114084929228</v>
      </c>
      <c r="G17" s="14">
        <f>(OsAppInstallGb+DbBaseGb+D17+E17+F17)*1.2</f>
        <v>18.3233563676476</v>
      </c>
    </row>
    <row r="18" spans="2:7">
      <c r="B18" s="4" t="s">
        <v>137</v>
      </c>
      <c r="C18" s="9">
        <f>C9*24</f>
        <v>1320000</v>
      </c>
      <c r="D18" s="14">
        <f>(C18*AvgCallRecordBytes)/(1024*1024*1024)*1.35*DbOverheadFactor</f>
        <v>1.83387659490108</v>
      </c>
      <c r="E18" s="14">
        <f>COUNTIF(ExtRange,"&gt;0")*ReportsPerSiteMonth*(AvgReportFileKb/1024/1024)*MIN(24,ReportRetentionMonths)</f>
        <v>0.0429153442382813</v>
      </c>
      <c r="F18" s="14">
        <f>D18*0.4*BackupCopies</f>
        <v>5.13485446572304</v>
      </c>
      <c r="G18" s="14">
        <f>(OsAppInstallGb+DbBaseGb+D18+E18+F18)*1.2</f>
        <v>20.4139756858349</v>
      </c>
    </row>
    <row r="19" spans="2:7">
      <c r="B19" s="4" t="s">
        <v>138</v>
      </c>
      <c r="C19" s="9">
        <f>C9*36</f>
        <v>1980000</v>
      </c>
      <c r="D19" s="14">
        <f>(C19*AvgCallRecordBytes)/(1024*1024*1024)*1.35*DbOverheadFactor</f>
        <v>2.75081489235163</v>
      </c>
      <c r="E19" s="14">
        <f>COUNTIF(ExtRange,"&gt;0")*ReportsPerSiteMonth*(AvgReportFileKb/1024/1024)*MIN(36,ReportRetentionMonths)</f>
        <v>0.0429153442382813</v>
      </c>
      <c r="F19" s="14">
        <f>D19*0.4*BackupCopies</f>
        <v>7.70228169858456</v>
      </c>
      <c r="G19" s="14">
        <f>(OsAppInstallGb+DbBaseGb+D19+E19+F19)*1.2</f>
        <v>24.5952143222094</v>
      </c>
    </row>
    <row r="20" spans="2:7">
      <c r="B20" s="4" t="s">
        <v>139</v>
      </c>
      <c r="C20" s="9">
        <f>C9*48</f>
        <v>2640000</v>
      </c>
      <c r="D20" s="14">
        <f>(C20*AvgCallRecordBytes)/(1024*1024*1024)*1.35*DbOverheadFactor</f>
        <v>3.66775318980217</v>
      </c>
      <c r="E20" s="14">
        <f>COUNTIF(ExtRange,"&gt;0")*ReportsPerSiteMonth*(AvgReportFileKb/1024/1024)*MIN(48,ReportRetentionMonths)</f>
        <v>0.0429153442382813</v>
      </c>
      <c r="F20" s="14">
        <f>D20*0.4*BackupCopies</f>
        <v>10.2697089314461</v>
      </c>
      <c r="G20" s="14">
        <f>(OsAppInstallGb+DbBaseGb+D20+E20+F20)*1.2</f>
        <v>28.7764529585838</v>
      </c>
    </row>
    <row r="21" spans="2:7">
      <c r="B21" s="4" t="s">
        <v>140</v>
      </c>
      <c r="C21" s="9">
        <f>C9*60</f>
        <v>3300000</v>
      </c>
      <c r="D21" s="14">
        <f>(C21*AvgCallRecordBytes)/(1024*1024*1024)*1.35*DbOverheadFactor</f>
        <v>4.58469148725271</v>
      </c>
      <c r="E21" s="14">
        <f>COUNTIF(ExtRange,"&gt;0")*ReportsPerSiteMonth*(AvgReportFileKb/1024/1024)*MIN(60,ReportRetentionMonths)</f>
        <v>0.0429153442382813</v>
      </c>
      <c r="F21" s="14">
        <f>D21*0.4*BackupCopies</f>
        <v>12.8371361643076</v>
      </c>
      <c r="G21" s="14">
        <f>(OsAppInstallGb+DbBaseGb+D21+E21+F21)*1.2</f>
        <v>32.9576915949583</v>
      </c>
    </row>
    <row r="22" spans="2:7">
      <c r="B22" s="4" t="s">
        <v>141</v>
      </c>
      <c r="C22" s="9">
        <f>C9*84</f>
        <v>4620000</v>
      </c>
      <c r="D22" s="14">
        <f>(C22*AvgCallRecordBytes)/(1024*1024*1024)*1.35*DbOverheadFactor</f>
        <v>6.4185680821538</v>
      </c>
      <c r="E22" s="14">
        <f>COUNTIF(ExtRange,"&gt;0")*ReportsPerSiteMonth*(AvgReportFileKb/1024/1024)*MIN(84,ReportRetentionMonths)</f>
        <v>0.0429153442382813</v>
      </c>
      <c r="F22" s="14">
        <f>D22*0.4*BackupCopies</f>
        <v>17.9719906300306</v>
      </c>
      <c r="G22" s="14">
        <f>(OsAppInstallGb+DbBaseGb+D22+E22+F22)*1.2</f>
        <v>41.3201688677073</v>
      </c>
    </row>
    <row r="23" spans="2:7">
      <c r="B23" s="4" t="s">
        <v>142</v>
      </c>
      <c r="C23" s="9">
        <f>C9*120</f>
        <v>6600000</v>
      </c>
      <c r="D23" s="14">
        <f>(C23*AvgCallRecordBytes)/(1024*1024*1024)*1.35*DbOverheadFactor</f>
        <v>9.16938297450543</v>
      </c>
      <c r="E23" s="14">
        <f>COUNTIF(ExtRange,"&gt;0")*ReportsPerSiteMonth*(AvgReportFileKb/1024/1024)*MIN(120,ReportRetentionMonths)</f>
        <v>0.0429153442382813</v>
      </c>
      <c r="F23" s="14">
        <f>D23*0.4*BackupCopies</f>
        <v>25.6742723286152</v>
      </c>
      <c r="G23" s="14">
        <f>(OsAppInstallGb+DbBaseGb+D23+E23+F23)*1.2</f>
        <v>53.8638847768307</v>
      </c>
    </row>
    <row r="25" ht="22" customHeight="1" spans="2:9">
      <c r="B25" s="3" t="s">
        <v>143</v>
      </c>
      <c r="C25" s="3"/>
      <c r="D25" s="3"/>
      <c r="E25" s="3"/>
      <c r="F25" s="3"/>
      <c r="G25" s="3"/>
      <c r="H25" s="3"/>
      <c r="I25" s="3"/>
    </row>
    <row r="27" ht="30" customHeight="1" spans="2:7">
      <c r="B27" s="15" t="s">
        <v>144</v>
      </c>
      <c r="C27" s="15"/>
      <c r="D27" s="15"/>
      <c r="E27" s="15"/>
      <c r="F27" s="15"/>
      <c r="G27" s="15"/>
    </row>
    <row r="29" spans="2:7">
      <c r="B29" s="7" t="s">
        <v>145</v>
      </c>
      <c r="C29" s="7" t="s">
        <v>146</v>
      </c>
      <c r="D29" s="7" t="s">
        <v>147</v>
      </c>
      <c r="E29" s="7" t="s">
        <v>148</v>
      </c>
      <c r="F29" s="7" t="s">
        <v>149</v>
      </c>
      <c r="G29" s="7" t="s">
        <v>150</v>
      </c>
    </row>
    <row r="30" spans="2:7">
      <c r="B30" s="4" t="s">
        <v>151</v>
      </c>
      <c r="C30" s="4" t="s">
        <v>152</v>
      </c>
      <c r="D30" s="9">
        <v>2</v>
      </c>
      <c r="E30" s="9">
        <v>12</v>
      </c>
      <c r="F30" s="9">
        <v>250</v>
      </c>
      <c r="G30" s="5" t="str">
        <f>IF(C5&lt;=500,"YES","")</f>
        <v>YES</v>
      </c>
    </row>
    <row r="31" spans="2:7">
      <c r="B31" s="4" t="s">
        <v>153</v>
      </c>
      <c r="C31" s="4" t="s">
        <v>154</v>
      </c>
      <c r="D31" s="9">
        <v>4</v>
      </c>
      <c r="E31" s="9">
        <v>16</v>
      </c>
      <c r="F31" s="9">
        <v>500</v>
      </c>
      <c r="G31" s="5" t="str">
        <f>IF(AND(C5&gt;500,C5&lt;=2500),"YES","")</f>
        <v/>
      </c>
    </row>
    <row r="32" spans="2:7">
      <c r="B32" s="4" t="s">
        <v>155</v>
      </c>
      <c r="C32" s="4" t="s">
        <v>156</v>
      </c>
      <c r="D32" s="9">
        <v>8</v>
      </c>
      <c r="E32" s="9">
        <v>32</v>
      </c>
      <c r="F32" s="9">
        <v>1000</v>
      </c>
      <c r="G32" s="5" t="str">
        <f>IF(AND(C5&gt;2500,C5&lt;=10000),"YES","")</f>
        <v/>
      </c>
    </row>
    <row r="33" spans="2:7">
      <c r="B33" s="4" t="s">
        <v>157</v>
      </c>
      <c r="C33" s="4" t="s">
        <v>158</v>
      </c>
      <c r="D33" s="9">
        <v>16</v>
      </c>
      <c r="E33" s="9">
        <v>64</v>
      </c>
      <c r="F33" s="9">
        <v>2000</v>
      </c>
      <c r="G33" s="5" t="str">
        <f>IF(C5&gt;10000,"YES","")</f>
        <v/>
      </c>
    </row>
    <row r="35" spans="2:3">
      <c r="B35" s="4" t="s">
        <v>159</v>
      </c>
      <c r="C35" s="16" t="str">
        <f>IF(C5&lt;=500,"Small",IF(C5&lt;=2500,"Medium",IF(C5&lt;=10000,"Large","Enterprise")))</f>
        <v>Small</v>
      </c>
    </row>
    <row r="36" spans="2:3">
      <c r="B36" s="4" t="s">
        <v>160</v>
      </c>
      <c r="C36" s="17">
        <f>INDEX(D30:D33,MATCH(C35,B30:B33,0))</f>
        <v>2</v>
      </c>
    </row>
    <row r="37" spans="2:3">
      <c r="B37" s="4" t="s">
        <v>161</v>
      </c>
      <c r="C37" s="17">
        <f>INDEX(E30:E33,MATCH(C35,B30:B33,0))</f>
        <v>12</v>
      </c>
    </row>
    <row r="38" spans="2:3">
      <c r="B38" s="4" t="s">
        <v>162</v>
      </c>
      <c r="C38" s="17">
        <f>INDEX(F30:F33,MATCH(C35,B30:B33,0))</f>
        <v>250</v>
      </c>
    </row>
    <row r="40" ht="22" customHeight="1" spans="2:9">
      <c r="B40" s="3" t="s">
        <v>163</v>
      </c>
      <c r="C40" s="3"/>
      <c r="D40" s="3"/>
      <c r="E40" s="3"/>
      <c r="F40" s="3"/>
      <c r="G40" s="3"/>
      <c r="H40" s="3"/>
      <c r="I40" s="3"/>
    </row>
    <row r="42" spans="2:6">
      <c r="B42" s="18" t="s">
        <v>164</v>
      </c>
      <c r="C42" s="7" t="s">
        <v>165</v>
      </c>
      <c r="D42" s="7" t="s">
        <v>166</v>
      </c>
      <c r="E42" s="7" t="s">
        <v>167</v>
      </c>
      <c r="F42" s="7" t="s">
        <v>168</v>
      </c>
    </row>
    <row r="43" spans="2:6">
      <c r="B43" s="4" t="s">
        <v>169</v>
      </c>
      <c r="C43" s="19" t="str">
        <f>IF(CxRealTime="Yes","Yes","No")</f>
        <v>Yes</v>
      </c>
      <c r="D43" s="20">
        <f>IF(CxRealTime&lt;&gt;"Yes",0,IF(C35="Small",1,IF(C35="Medium",2,IF(C35="Large",4,8))))</f>
        <v>1</v>
      </c>
      <c r="E43" s="20">
        <f>IF(CxRealTime&lt;&gt;"Yes",0,IF(C35="Small",4,IF(C35="Medium",8,IF(C35="Large",16,32))))</f>
        <v>4</v>
      </c>
      <c r="F43" s="20">
        <f>IF(CxRealTime&lt;&gt;"Yes",0,20)</f>
        <v>20</v>
      </c>
    </row>
    <row r="44" spans="2:6">
      <c r="B44" s="4" t="s">
        <v>170</v>
      </c>
      <c r="C44" s="19" t="str">
        <f>IF((PhoneSeats+NotifierSeats)&gt;0,"Yes","No")</f>
        <v>Yes</v>
      </c>
      <c r="D44" s="20">
        <f>IF((PhoneSeats+NotifierSeats)=0,0,IF(C35="Small",1,IF(C35="Medium",1,IF(C35="Large",2,4))))</f>
        <v>1</v>
      </c>
      <c r="E44" s="20">
        <f>IF((PhoneSeats+NotifierSeats)=0,0,IF(C35="Small",2,IF(C35="Medium",4,IF(C35="Large",8,16))))</f>
        <v>2</v>
      </c>
      <c r="F44" s="20">
        <f>IF((PhoneSeats+NotifierSeats)=0,0,10)</f>
        <v>10</v>
      </c>
    </row>
    <row r="45" spans="2:6">
      <c r="B45" s="4" t="s">
        <v>171</v>
      </c>
      <c r="C45" s="19" t="str">
        <f>IF(SnmpEnabled="Yes","Yes","No")</f>
        <v>Yes</v>
      </c>
      <c r="D45" s="20">
        <f>IF(SnmpEnabled&lt;&gt;"Yes",0,IF(C35="Small",0,IF(C35="Medium",0,IF(C35="Large",1,2))))</f>
        <v>0</v>
      </c>
      <c r="E45" s="20">
        <f>IF(SnmpEnabled&lt;&gt;"Yes",0,IF(C35="Small",1,IF(C35="Medium",2,IF(C35="Large",4,8))))</f>
        <v>1</v>
      </c>
      <c r="F45" s="20">
        <f>IF(SnmpEnabled&lt;&gt;"Yes",0,5)</f>
        <v>5</v>
      </c>
    </row>
    <row r="47" spans="2:4">
      <c r="B47" s="4" t="s">
        <v>172</v>
      </c>
      <c r="D47" s="20">
        <f>SUM(D43:D45)</f>
        <v>2</v>
      </c>
    </row>
    <row r="48" spans="2:4">
      <c r="B48" s="4" t="s">
        <v>173</v>
      </c>
      <c r="D48" s="20">
        <f>SUM(E43:E45)</f>
        <v>7</v>
      </c>
    </row>
    <row r="49" spans="2:4">
      <c r="B49" s="4" t="s">
        <v>174</v>
      </c>
      <c r="D49" s="20">
        <f>SUM(F43:F45)</f>
        <v>35</v>
      </c>
    </row>
    <row r="51" ht="22" customHeight="1" spans="2:9">
      <c r="B51" s="3" t="s">
        <v>175</v>
      </c>
      <c r="C51" s="3"/>
      <c r="D51" s="3"/>
      <c r="E51" s="3"/>
      <c r="F51" s="3"/>
      <c r="G51" s="3"/>
      <c r="H51" s="3"/>
      <c r="I51" s="3"/>
    </row>
    <row r="53" spans="2:4">
      <c r="B53" s="4" t="s">
        <v>176</v>
      </c>
      <c r="C53" s="6" t="str">
        <f>C35</f>
        <v>Small</v>
      </c>
      <c r="D53" s="6"/>
    </row>
    <row r="54" spans="2:4">
      <c r="B54" s="4" t="s">
        <v>177</v>
      </c>
      <c r="C54" s="6">
        <f>C36+D47</f>
        <v>4</v>
      </c>
      <c r="D54" s="6"/>
    </row>
    <row r="55" spans="2:4">
      <c r="B55" s="4" t="s">
        <v>178</v>
      </c>
      <c r="C55" s="6">
        <f>C37+D48</f>
        <v>19</v>
      </c>
      <c r="D55" s="6"/>
    </row>
    <row r="56" spans="2:4">
      <c r="B56" s="4" t="s">
        <v>179</v>
      </c>
      <c r="C56" s="6">
        <f>C38+D49</f>
        <v>285</v>
      </c>
      <c r="D56" s="6"/>
    </row>
    <row r="57" spans="2:4">
      <c r="B57" s="4" t="s">
        <v>180</v>
      </c>
      <c r="C57" s="21">
        <f>IFERROR(INDEX(G15:G23,MATCH(CdrRetentionMonths,{6;12;18;24;36;48;60;84;120},0)),"Set CDR Retention to 6/12/18/24/36/48/60/84/120")</f>
        <v>20.4139756858349</v>
      </c>
      <c r="D57" s="21"/>
    </row>
    <row r="58" spans="2:9">
      <c r="B58" s="4" t="s">
        <v>181</v>
      </c>
      <c r="C58" s="22" t="str">
        <f>IF(C35="Small","Windows Server 2019/2022/2025 (or Win 10/11 for lab)",IF(C35="Enterprise","Windows Server 2022/2025","Windows Server 2019/2022/2025"))</f>
        <v>Windows Server 2019/2022/2025 (or Win 10/11 for lab)</v>
      </c>
      <c r="D58" s="23"/>
      <c r="E58" s="23"/>
      <c r="F58" s="23"/>
      <c r="G58" s="23"/>
      <c r="H58" s="23"/>
      <c r="I58" s="23"/>
    </row>
    <row r="59" spans="2:3">
      <c r="B59" s="4" t="s">
        <v>182</v>
      </c>
      <c r="C59" s="24" t="str">
        <f>DbEngine</f>
        <v>PostgreSQL</v>
      </c>
    </row>
  </sheetData>
  <mergeCells count="14">
    <mergeCell ref="B1:I1"/>
    <mergeCell ref="B2:I2"/>
    <mergeCell ref="B3:I3"/>
    <mergeCell ref="B12:I12"/>
    <mergeCell ref="B25:I25"/>
    <mergeCell ref="B27:G27"/>
    <mergeCell ref="B40:I40"/>
    <mergeCell ref="B51:I51"/>
    <mergeCell ref="C53:D53"/>
    <mergeCell ref="C54:D54"/>
    <mergeCell ref="C55:D55"/>
    <mergeCell ref="C56:D56"/>
    <mergeCell ref="C57:D57"/>
    <mergeCell ref="C58:I58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59E0B"/>
  </sheetPr>
  <dimension ref="B1:I17"/>
  <sheetViews>
    <sheetView showGridLines="0" workbookViewId="0">
      <selection activeCell="D18" sqref="D18"/>
    </sheetView>
  </sheetViews>
  <sheetFormatPr defaultColWidth="9" defaultRowHeight="14.4"/>
  <cols>
    <col min="1" max="1" width="3" customWidth="1"/>
    <col min="2" max="2" width="4" customWidth="1"/>
    <col min="3" max="3" width="18" customWidth="1"/>
    <col min="4" max="4" width="44" customWidth="1"/>
    <col min="5" max="5" width="10" customWidth="1"/>
    <col min="6" max="6" width="66.7777777777778" customWidth="1"/>
  </cols>
  <sheetData>
    <row r="1" ht="28" customHeight="1" spans="2:9">
      <c r="B1" s="1" t="s">
        <v>183</v>
      </c>
      <c r="C1" s="1"/>
      <c r="D1" s="1"/>
      <c r="E1" s="1"/>
      <c r="F1" s="1"/>
      <c r="G1" s="1"/>
      <c r="H1" s="1"/>
      <c r="I1" s="1"/>
    </row>
    <row r="2" ht="20" customHeight="1" spans="2:9">
      <c r="B2" s="2" t="s">
        <v>184</v>
      </c>
      <c r="C2" s="2"/>
      <c r="D2" s="2"/>
      <c r="E2" s="2"/>
      <c r="F2" s="2"/>
      <c r="G2" s="2"/>
      <c r="H2" s="2"/>
      <c r="I2" s="2"/>
    </row>
    <row r="4" ht="22" customHeight="1" spans="2:6">
      <c r="B4" s="7" t="s">
        <v>81</v>
      </c>
      <c r="C4" s="7" t="s">
        <v>185</v>
      </c>
      <c r="D4" s="7" t="s">
        <v>186</v>
      </c>
      <c r="E4" s="7" t="s">
        <v>187</v>
      </c>
      <c r="F4" s="7" t="s">
        <v>15</v>
      </c>
    </row>
    <row r="5" spans="2:6">
      <c r="B5" s="4">
        <v>1</v>
      </c>
      <c r="C5" s="11" t="s">
        <v>188</v>
      </c>
      <c r="D5" s="4" t="s">
        <v>189</v>
      </c>
      <c r="E5" s="12">
        <v>1</v>
      </c>
      <c r="F5" s="4" t="s">
        <v>190</v>
      </c>
    </row>
    <row r="6" spans="2:6">
      <c r="B6" s="4">
        <v>2</v>
      </c>
      <c r="C6" s="11" t="s">
        <v>191</v>
      </c>
      <c r="D6" s="4" t="s">
        <v>192</v>
      </c>
      <c r="E6" s="12">
        <f>ActiveSites</f>
        <v>1</v>
      </c>
      <c r="F6" s="4" t="s">
        <v>193</v>
      </c>
    </row>
    <row r="7" spans="2:6">
      <c r="B7" s="4">
        <v>3</v>
      </c>
      <c r="C7" s="11" t="s">
        <v>194</v>
      </c>
      <c r="D7" s="4" t="s">
        <v>195</v>
      </c>
      <c r="E7" s="12">
        <f>TotalPbxSystems</f>
        <v>2</v>
      </c>
      <c r="F7" s="4" t="s">
        <v>196</v>
      </c>
    </row>
    <row r="8" spans="2:6">
      <c r="B8" s="4">
        <v>4</v>
      </c>
      <c r="C8" s="11" t="s">
        <v>197</v>
      </c>
      <c r="D8" s="4" t="s">
        <v>198</v>
      </c>
      <c r="E8" s="12">
        <f>TotalExtensions</f>
        <v>500</v>
      </c>
      <c r="F8" s="4" t="s">
        <v>199</v>
      </c>
    </row>
    <row r="9" spans="2:6">
      <c r="B9" s="4">
        <v>5</v>
      </c>
      <c r="C9" s="11" t="s">
        <v>200</v>
      </c>
      <c r="D9" s="4" t="s">
        <v>201</v>
      </c>
      <c r="E9" s="12">
        <f>MAX('Customer Input'!$D$12-1,0)</f>
        <v>0</v>
      </c>
      <c r="F9" s="4" t="s">
        <v>202</v>
      </c>
    </row>
    <row r="10" spans="2:6">
      <c r="B10" s="4">
        <v>6</v>
      </c>
      <c r="C10" s="11" t="s">
        <v>203</v>
      </c>
      <c r="D10" s="4" t="s">
        <v>204</v>
      </c>
      <c r="E10" s="12">
        <f>IF(CxRealTime="Yes",1,0)</f>
        <v>1</v>
      </c>
      <c r="F10" s="4" t="s">
        <v>205</v>
      </c>
    </row>
    <row r="11" spans="2:6">
      <c r="B11" s="4">
        <v>7</v>
      </c>
      <c r="C11" s="11" t="s">
        <v>206</v>
      </c>
      <c r="D11" s="4" t="s">
        <v>207</v>
      </c>
      <c r="E11" s="12">
        <f>PhoneSeats</f>
        <v>5</v>
      </c>
      <c r="F11" s="4" t="s">
        <v>208</v>
      </c>
    </row>
    <row r="12" spans="2:6">
      <c r="B12" s="4">
        <v>8</v>
      </c>
      <c r="C12" s="11" t="s">
        <v>209</v>
      </c>
      <c r="D12" s="4" t="s">
        <v>210</v>
      </c>
      <c r="E12" s="12">
        <f>NotifierSeats</f>
        <v>5</v>
      </c>
      <c r="F12" s="4" t="s">
        <v>211</v>
      </c>
    </row>
    <row r="13" spans="2:6">
      <c r="B13" s="4">
        <v>9</v>
      </c>
      <c r="C13" s="11" t="s">
        <v>212</v>
      </c>
      <c r="D13" s="4" t="s">
        <v>213</v>
      </c>
      <c r="E13" s="12">
        <f>IF(SnmpEnabled="Yes",1,0)</f>
        <v>1</v>
      </c>
      <c r="F13" s="4" t="s">
        <v>214</v>
      </c>
    </row>
    <row r="14" spans="2:6">
      <c r="B14" s="4">
        <v>10</v>
      </c>
      <c r="C14" s="11" t="s">
        <v>215</v>
      </c>
      <c r="D14" s="4" t="s">
        <v>216</v>
      </c>
      <c r="E14" s="12">
        <f>IF(DbEngine="SQL Server",1,0)</f>
        <v>0</v>
      </c>
      <c r="F14" s="4" t="s">
        <v>217</v>
      </c>
    </row>
    <row r="15" spans="2:6">
      <c r="B15" s="4">
        <v>11</v>
      </c>
      <c r="C15" s="11" t="s">
        <v>218</v>
      </c>
      <c r="D15" s="4" t="s">
        <v>219</v>
      </c>
      <c r="E15" s="12">
        <f>IF(SaLevel="None",0,1)</f>
        <v>1</v>
      </c>
      <c r="F15" s="4" t="s">
        <v>220</v>
      </c>
    </row>
    <row r="17" spans="2:6">
      <c r="B17" s="13" t="s">
        <v>221</v>
      </c>
      <c r="C17" s="13"/>
      <c r="D17" s="13"/>
      <c r="E17" s="13"/>
      <c r="F17" s="13"/>
    </row>
  </sheetData>
  <mergeCells count="3">
    <mergeCell ref="B1:I1"/>
    <mergeCell ref="B2:I2"/>
    <mergeCell ref="B17:F17"/>
  </mergeCells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D2B4A"/>
  </sheetPr>
  <dimension ref="B2:I55"/>
  <sheetViews>
    <sheetView showGridLines="0" view="pageLayout" zoomScaleNormal="100" topLeftCell="A33" workbookViewId="0">
      <selection activeCell="E50" sqref="E50"/>
    </sheetView>
  </sheetViews>
  <sheetFormatPr defaultColWidth="9" defaultRowHeight="14.4"/>
  <cols>
    <col min="1" max="1" width="3" customWidth="1"/>
    <col min="2" max="2" width="30" customWidth="1"/>
    <col min="3" max="3" width="31.7777777777778" customWidth="1"/>
    <col min="4" max="5" width="22" customWidth="1"/>
    <col min="6" max="6" width="6" customWidth="1"/>
  </cols>
  <sheetData>
    <row r="2" ht="28" customHeight="1" spans="2:9">
      <c r="B2" s="1" t="s">
        <v>222</v>
      </c>
      <c r="C2" s="1"/>
      <c r="D2" s="1"/>
      <c r="E2" s="1"/>
      <c r="F2" s="1"/>
      <c r="G2" s="1"/>
      <c r="H2" s="1"/>
      <c r="I2" s="1"/>
    </row>
    <row r="3" ht="20" customHeight="1" spans="2:9">
      <c r="B3" s="2" t="s">
        <v>223</v>
      </c>
      <c r="C3" s="2"/>
      <c r="D3" s="2"/>
      <c r="E3" s="2"/>
      <c r="F3" s="2"/>
      <c r="G3" s="2"/>
      <c r="H3" s="2"/>
      <c r="I3" s="2"/>
    </row>
    <row r="5" ht="22" customHeight="1" spans="2:9">
      <c r="B5" s="3" t="s">
        <v>224</v>
      </c>
      <c r="C5" s="3"/>
      <c r="D5" s="3"/>
      <c r="E5" s="3"/>
      <c r="F5" s="3"/>
      <c r="G5" s="3"/>
      <c r="H5" s="3"/>
      <c r="I5" s="3"/>
    </row>
    <row r="7" spans="2:5">
      <c r="B7" s="4" t="s">
        <v>225</v>
      </c>
      <c r="C7" s="5">
        <f>'Customer Input'!$D$5</f>
        <v>0</v>
      </c>
      <c r="D7" s="5"/>
      <c r="E7" s="5"/>
    </row>
    <row r="8" spans="2:5">
      <c r="B8" s="4" t="s">
        <v>226</v>
      </c>
      <c r="C8" s="5">
        <f>'Customer Input'!$D$6</f>
        <v>0</v>
      </c>
      <c r="D8" s="5"/>
      <c r="E8" s="5"/>
    </row>
    <row r="9" spans="2:5">
      <c r="B9" s="4" t="s">
        <v>227</v>
      </c>
      <c r="C9" s="5">
        <f>'Customer Input'!$D$7</f>
        <v>0</v>
      </c>
      <c r="D9" s="5"/>
      <c r="E9" s="5"/>
    </row>
    <row r="10" spans="2:5">
      <c r="B10" s="4" t="s">
        <v>228</v>
      </c>
      <c r="C10" s="5">
        <f>'Customer Input'!$D$8</f>
        <v>0</v>
      </c>
      <c r="D10" s="5"/>
      <c r="E10" s="5"/>
    </row>
    <row r="11" spans="2:5">
      <c r="B11" s="4" t="s">
        <v>78</v>
      </c>
      <c r="C11" s="5">
        <f>'Customer Input'!$D$9</f>
        <v>46241.0043851505</v>
      </c>
      <c r="D11" s="5"/>
      <c r="E11" s="5"/>
    </row>
    <row r="13" ht="22" customHeight="1" spans="2:9">
      <c r="B13" s="3" t="s">
        <v>229</v>
      </c>
      <c r="C13" s="3"/>
      <c r="D13" s="3"/>
      <c r="E13" s="3"/>
      <c r="F13" s="3"/>
      <c r="G13" s="3"/>
      <c r="H13" s="3"/>
      <c r="I13" s="3"/>
    </row>
    <row r="15" spans="2:5">
      <c r="B15" s="4" t="s">
        <v>230</v>
      </c>
      <c r="C15" s="5">
        <f>ActiveSites</f>
        <v>1</v>
      </c>
      <c r="D15" s="5"/>
      <c r="E15" s="5"/>
    </row>
    <row r="16" spans="2:5">
      <c r="B16" s="4" t="s">
        <v>231</v>
      </c>
      <c r="C16" s="5">
        <f>TotalPbxSystems</f>
        <v>2</v>
      </c>
      <c r="D16" s="5"/>
      <c r="E16" s="5"/>
    </row>
    <row r="17" spans="2:5">
      <c r="B17" s="4" t="s">
        <v>121</v>
      </c>
      <c r="C17" s="5">
        <f>TotalExtensions</f>
        <v>500</v>
      </c>
      <c r="D17" s="5"/>
      <c r="E17" s="5"/>
    </row>
    <row r="18" spans="2:5">
      <c r="B18" s="4" t="s">
        <v>232</v>
      </c>
      <c r="C18" s="5">
        <f>NumberOfTenants</f>
        <v>1</v>
      </c>
      <c r="D18" s="5"/>
      <c r="E18" s="5"/>
    </row>
    <row r="19" spans="2:5">
      <c r="B19" s="4" t="s">
        <v>233</v>
      </c>
      <c r="C19" s="5">
        <f>TotalCallsDay</f>
        <v>2500</v>
      </c>
      <c r="D19" s="5"/>
      <c r="E19" s="5"/>
    </row>
    <row r="20" spans="2:5">
      <c r="B20" s="4" t="s">
        <v>234</v>
      </c>
      <c r="C20" s="5">
        <f>TotalCallsYear</f>
        <v>660000</v>
      </c>
      <c r="D20" s="5"/>
      <c r="E20" s="5"/>
    </row>
    <row r="22" ht="22" customHeight="1" spans="2:9">
      <c r="B22" s="3" t="s">
        <v>235</v>
      </c>
      <c r="C22" s="3"/>
      <c r="D22" s="3"/>
      <c r="E22" s="3"/>
      <c r="F22" s="3"/>
      <c r="G22" s="3"/>
      <c r="H22" s="3"/>
      <c r="I22" s="3"/>
    </row>
    <row r="24" spans="2:5">
      <c r="B24" s="4" t="s">
        <v>169</v>
      </c>
      <c r="C24" s="5" t="str">
        <f>IF(CxRealTime="Yes","Enabled","Not licensed")</f>
        <v>Enabled</v>
      </c>
      <c r="D24" s="5"/>
      <c r="E24" s="5"/>
    </row>
    <row r="25" spans="2:5">
      <c r="B25" s="4" t="s">
        <v>236</v>
      </c>
      <c r="C25" s="5">
        <f>PhoneSeats</f>
        <v>5</v>
      </c>
      <c r="D25" s="5"/>
      <c r="E25" s="5"/>
    </row>
    <row r="26" spans="2:5">
      <c r="B26" s="4" t="s">
        <v>237</v>
      </c>
      <c r="C26" s="5">
        <f>NotifierSeats</f>
        <v>5</v>
      </c>
      <c r="D26" s="5"/>
      <c r="E26" s="5"/>
    </row>
    <row r="27" spans="2:5">
      <c r="B27" s="4" t="s">
        <v>213</v>
      </c>
      <c r="C27" s="5" t="str">
        <f>IF(SnmpEnabled="Yes","Enabled","Not licensed")</f>
        <v>Enabled</v>
      </c>
      <c r="D27" s="5"/>
      <c r="E27" s="5"/>
    </row>
    <row r="28" spans="2:5">
      <c r="B28" s="4" t="s">
        <v>182</v>
      </c>
      <c r="C28" s="5" t="str">
        <f>DbEngine</f>
        <v>PostgreSQL</v>
      </c>
      <c r="D28" s="5"/>
      <c r="E28" s="5"/>
    </row>
    <row r="29" spans="2:5">
      <c r="B29" s="4" t="s">
        <v>108</v>
      </c>
      <c r="C29" s="5" t="str">
        <f>SaLevel</f>
        <v>Standard</v>
      </c>
      <c r="D29" s="5"/>
      <c r="E29" s="5"/>
    </row>
    <row r="31" ht="22" customHeight="1" spans="2:9">
      <c r="B31" s="3" t="s">
        <v>238</v>
      </c>
      <c r="C31" s="3"/>
      <c r="D31" s="3"/>
      <c r="E31" s="3"/>
      <c r="F31" s="3"/>
      <c r="G31" s="3"/>
      <c r="H31" s="3"/>
      <c r="I31" s="3"/>
    </row>
    <row r="33" spans="2:3">
      <c r="B33" s="4" t="s">
        <v>176</v>
      </c>
      <c r="C33" s="6" t="str">
        <f>RecommendedTier</f>
        <v>Small</v>
      </c>
    </row>
    <row r="34" spans="2:3">
      <c r="B34" s="4" t="s">
        <v>177</v>
      </c>
      <c r="C34" s="6">
        <f>BaselineVCpu+AdditiveVCpu</f>
        <v>4</v>
      </c>
    </row>
    <row r="35" spans="2:3">
      <c r="B35" s="4" t="s">
        <v>178</v>
      </c>
      <c r="C35" s="6">
        <f>BaselineRam+AdditiveRam</f>
        <v>19</v>
      </c>
    </row>
    <row r="36" spans="2:3">
      <c r="B36" s="4" t="s">
        <v>162</v>
      </c>
      <c r="C36" s="6">
        <f>BaselineDisk+AdditiveDisk</f>
        <v>285</v>
      </c>
    </row>
    <row r="37" spans="2:3">
      <c r="B37" s="4" t="s">
        <v>181</v>
      </c>
      <c r="C37" s="6" t="str">
        <f>IF(RecommendedTier="Small","Windows Server 2019/2022/2025","Windows Server 2022/2025")</f>
        <v>Windows Server 2019/2022/2025</v>
      </c>
    </row>
    <row r="39" ht="22" customHeight="1" spans="2:9">
      <c r="B39" s="3" t="s">
        <v>183</v>
      </c>
      <c r="C39" s="3"/>
      <c r="D39" s="3"/>
      <c r="E39" s="3"/>
      <c r="F39" s="3"/>
      <c r="G39" s="3"/>
      <c r="H39" s="3"/>
      <c r="I39" s="3"/>
    </row>
    <row r="41" spans="2:4">
      <c r="B41" s="7" t="s">
        <v>185</v>
      </c>
      <c r="C41" s="7" t="s">
        <v>186</v>
      </c>
      <c r="D41" s="7" t="s">
        <v>187</v>
      </c>
    </row>
    <row r="42" spans="2:4">
      <c r="B42" s="8" t="str">
        <f>'License BOM'!$C$5</f>
        <v>CA-BASE-0001</v>
      </c>
      <c r="C42" s="5" t="str">
        <f>'License BOM'!$D$5</f>
        <v>Base Package (includes first tenant)</v>
      </c>
      <c r="D42" s="9">
        <f>'License BOM'!$E$5</f>
        <v>1</v>
      </c>
    </row>
    <row r="43" spans="2:4">
      <c r="B43" s="8" t="str">
        <f>'License BOM'!$C$6</f>
        <v>CA-SITE-0001</v>
      </c>
      <c r="C43" s="5" t="str">
        <f>'License BOM'!$D$6</f>
        <v>Site License</v>
      </c>
      <c r="D43" s="9">
        <f>'License BOM'!$E$6</f>
        <v>1</v>
      </c>
    </row>
    <row r="44" spans="2:4">
      <c r="B44" s="8" t="str">
        <f>'License BOM'!$C$7</f>
        <v>CA-PBX-0001</v>
      </c>
      <c r="C44" s="5" t="str">
        <f>'License BOM'!$D$7</f>
        <v>PBX Connection</v>
      </c>
      <c r="D44" s="9">
        <f>'License BOM'!$E$7</f>
        <v>2</v>
      </c>
    </row>
    <row r="45" spans="2:4">
      <c r="B45" s="8" t="str">
        <f>'License BOM'!$C$8</f>
        <v>CA-EXT-0001</v>
      </c>
      <c r="C45" s="5" t="str">
        <f>'License BOM'!$D$8</f>
        <v>Extension License</v>
      </c>
      <c r="D45" s="9">
        <f>'License BOM'!$E$8</f>
        <v>500</v>
      </c>
    </row>
    <row r="46" spans="2:4">
      <c r="B46" s="8" t="str">
        <f>'License BOM'!$C$9</f>
        <v>CA-TNT-0001</v>
      </c>
      <c r="C46" s="5" t="str">
        <f>'License BOM'!$D$9</f>
        <v>Additional Tenant</v>
      </c>
      <c r="D46" s="9">
        <f>'License BOM'!$E$9</f>
        <v>0</v>
      </c>
    </row>
    <row r="47" spans="2:4">
      <c r="B47" s="8" t="str">
        <f>'License BOM'!$C$10</f>
        <v>CA-CX-0001</v>
      </c>
      <c r="C47" s="5" t="str">
        <f>'License BOM'!$D$10</f>
        <v>Mitel CX Real-Time Integration</v>
      </c>
      <c r="D47" s="9">
        <f>'License BOM'!$E$10</f>
        <v>1</v>
      </c>
    </row>
    <row r="48" spans="2:4">
      <c r="B48" s="8" t="str">
        <f>'License BOM'!$C$11</f>
        <v>CA-PHX-0001</v>
      </c>
      <c r="C48" s="5" t="str">
        <f>'License BOM'!$D$11</f>
        <v>Phone Display seat (Mitel 6900)</v>
      </c>
      <c r="D48" s="9">
        <f>'License BOM'!$E$11</f>
        <v>5</v>
      </c>
    </row>
    <row r="49" spans="2:4">
      <c r="B49" s="8" t="str">
        <f>'License BOM'!$C$12</f>
        <v>CA-NOTIF-0001</v>
      </c>
      <c r="C49" s="5" t="str">
        <f>'License BOM'!$D$12</f>
        <v>Desktop Notifier seat</v>
      </c>
      <c r="D49" s="9">
        <f>'License BOM'!$E$12</f>
        <v>5</v>
      </c>
    </row>
    <row r="50" spans="2:4">
      <c r="B50" s="8" t="str">
        <f>'License BOM'!$C$13</f>
        <v>CA-SNMP-EM</v>
      </c>
      <c r="C50" s="5" t="str">
        <f>'License BOM'!$D$13</f>
        <v>SNMP / Emergency Alerts</v>
      </c>
      <c r="D50" s="9">
        <f>'License BOM'!$E$13</f>
        <v>1</v>
      </c>
    </row>
    <row r="51" spans="2:4">
      <c r="B51" s="8" t="str">
        <f>'License BOM'!$C$14</f>
        <v>CA-SQL-0001</v>
      </c>
      <c r="C51" s="5" t="str">
        <f>'License BOM'!$D$14</f>
        <v>SQL Server Database Option</v>
      </c>
      <c r="D51" s="9">
        <f>'License BOM'!$E$14</f>
        <v>0</v>
      </c>
    </row>
    <row r="52" spans="2:4">
      <c r="B52" s="8" t="str">
        <f>'License BOM'!$C$15</f>
        <v>CA-SA-0001</v>
      </c>
      <c r="C52" s="5" t="str">
        <f>'License BOM'!$D$15</f>
        <v>Software Assurance (annual)</v>
      </c>
      <c r="D52" s="9">
        <f>'License BOM'!$E$15</f>
        <v>1</v>
      </c>
    </row>
    <row r="54" spans="2:5">
      <c r="B54" s="10" t="s">
        <v>239</v>
      </c>
      <c r="C54" s="10"/>
      <c r="D54" s="10"/>
      <c r="E54" s="10"/>
    </row>
    <row r="55" spans="2:5">
      <c r="B55" s="10" t="s">
        <v>240</v>
      </c>
      <c r="C55" s="10"/>
      <c r="D55" s="10"/>
      <c r="E55" s="10"/>
    </row>
  </sheetData>
  <mergeCells count="26">
    <mergeCell ref="B2:I2"/>
    <mergeCell ref="B3:I3"/>
    <mergeCell ref="B5:I5"/>
    <mergeCell ref="C7:E7"/>
    <mergeCell ref="C8:E8"/>
    <mergeCell ref="C9:E9"/>
    <mergeCell ref="C10:E10"/>
    <mergeCell ref="C11:E11"/>
    <mergeCell ref="B13:I13"/>
    <mergeCell ref="C15:E15"/>
    <mergeCell ref="C16:E16"/>
    <mergeCell ref="C17:E17"/>
    <mergeCell ref="C18:E18"/>
    <mergeCell ref="C19:E19"/>
    <mergeCell ref="C20:E20"/>
    <mergeCell ref="B22:I22"/>
    <mergeCell ref="C24:E24"/>
    <mergeCell ref="C25:E25"/>
    <mergeCell ref="C26:E26"/>
    <mergeCell ref="C27:E27"/>
    <mergeCell ref="C28:E28"/>
    <mergeCell ref="C29:E29"/>
    <mergeCell ref="B31:I31"/>
    <mergeCell ref="B39:I39"/>
    <mergeCell ref="B54:E54"/>
    <mergeCell ref="B55:E5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MeeraApps Technology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Instructions</vt:lpstr>
      <vt:lpstr>Reference Data</vt:lpstr>
      <vt:lpstr>Customer Input</vt:lpstr>
      <vt:lpstr>Sizing Results</vt:lpstr>
      <vt:lpstr>License BOM</vt:lpstr>
      <vt:lpstr>Proposal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EVOA Capacity Planning Calculator v1.10.0</dc:title>
  <dc:subject>Sizing and licensing calculator for EVOA v1.10.0</dc:subject>
  <dc:creator>MeeraApps Technology</dc:creator>
  <cp:lastModifiedBy>WPS_1784930851</cp:lastModifiedBy>
  <dcterms:created xsi:type="dcterms:W3CDTF">2026-08-07T00:06:00Z</dcterms:created>
  <dcterms:modified xsi:type="dcterms:W3CDTF">2026-08-07T00:33:03Z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A2BBB590888B4175BF48157DC907E6D5_12</vt:lpwstr>
  </property>
  <property fmtid="{D5CDD505-2E9C-101B-9397-08002B2CF9AE}" pid="3" name="KSOProductBuildVer">
    <vt:lpwstr>2057-12.2.0.23196</vt:lpwstr>
  </property>
</Properties>
</file>